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tabRatio="866" firstSheet="7" activeTab="9"/>
  </bookViews>
  <sheets>
    <sheet name="Westtown Farms" sheetId="1" r:id="rId1"/>
    <sheet name="West Wynn I" sheetId="2" r:id="rId2"/>
    <sheet name="Edgewood Chase" sheetId="3" r:id="rId3"/>
    <sheet name="Grandview West, etc." sheetId="4" r:id="rId4"/>
    <sheet name="Grandview S.East, Buttonwood" sheetId="5" r:id="rId5"/>
    <sheet name="Avon Lea, Garfield East" sheetId="6" r:id="rId6"/>
    <sheet name="Land Grant South" sheetId="7" r:id="rId7"/>
    <sheet name="Grandview NE, Valley Area" sheetId="8" r:id="rId8"/>
    <sheet name="Valley Area East" sheetId="9" r:id="rId9"/>
    <sheet name="Summary" sheetId="10" r:id="rId10"/>
    <sheet name="Chateau Dr,Shallow Hills" sheetId="11" r:id="rId11"/>
    <sheet name="Carylyn Dr., Hummingbird Etc." sheetId="12" r:id="rId12"/>
    <sheet name="Plum Lea Farms, Kilduf" sheetId="13" r:id="rId13"/>
  </sheets>
  <definedNames>
    <definedName name="_xlnm.Print_Area" localSheetId="5">'Avon Lea, Garfield East'!$A$1:$F$55</definedName>
    <definedName name="_xlnm.Print_Area" localSheetId="11">'Carylyn Dr., Hummingbird Etc.'!$A$1:$F$55</definedName>
    <definedName name="_xlnm.Print_Area" localSheetId="10">'Chateau Dr,Shallow Hills'!$A$1:$F$55</definedName>
    <definedName name="_xlnm.Print_Area" localSheetId="2">'Edgewood Chase'!$A$1:$F$55</definedName>
    <definedName name="_xlnm.Print_Area" localSheetId="7">'Grandview NE, Valley Area'!$A$1:$F$55</definedName>
    <definedName name="_xlnm.Print_Area" localSheetId="4">'Grandview S.East, Buttonwood'!$A$1:$F$55</definedName>
    <definedName name="_xlnm.Print_Area" localSheetId="3">'Grandview West, etc.'!$A$1:$F$55</definedName>
    <definedName name="_xlnm.Print_Area" localSheetId="6">'Land Grant South'!$A$1:$F$55</definedName>
    <definedName name="_xlnm.Print_Area" localSheetId="12">'Plum Lea Farms, Kilduf'!$A$1:$F$55</definedName>
    <definedName name="_xlnm.Print_Area" localSheetId="9">'Summary'!$A$1:$G$25</definedName>
    <definedName name="_xlnm.Print_Area" localSheetId="8">'Valley Area East'!$A$1:$F$55</definedName>
    <definedName name="_xlnm.Print_Area" localSheetId="1">'West Wynn I'!$A$1:$F$55</definedName>
    <definedName name="_xlnm.Print_Area" localSheetId="0">'Westtown Farms'!$A$1:$F$55</definedName>
  </definedNames>
  <calcPr fullCalcOnLoad="1"/>
</workbook>
</file>

<file path=xl/sharedStrings.xml><?xml version="1.0" encoding="utf-8"?>
<sst xmlns="http://schemas.openxmlformats.org/spreadsheetml/2006/main" count="1201" uniqueCount="103">
  <si>
    <t>Westtown Township</t>
  </si>
  <si>
    <t>URS Corporation</t>
  </si>
  <si>
    <t>Project:</t>
  </si>
  <si>
    <t>1200 Philadelphia Pike</t>
  </si>
  <si>
    <t>Comm.:</t>
  </si>
  <si>
    <t>Wilmington, DE 19809</t>
  </si>
  <si>
    <t>By:</t>
  </si>
  <si>
    <t>MFP</t>
  </si>
  <si>
    <t>(302) 791-0700 (phone)</t>
  </si>
  <si>
    <t>(302) 791-0708 (fax)</t>
  </si>
  <si>
    <t>Preliminary Engineering Estimate of Probable Construction Costs</t>
  </si>
  <si>
    <t>Item No.</t>
  </si>
  <si>
    <t>Item Description</t>
  </si>
  <si>
    <t>Unit</t>
  </si>
  <si>
    <t>Quantity</t>
  </si>
  <si>
    <t>Unit Cost</t>
  </si>
  <si>
    <t>Item Cost</t>
  </si>
  <si>
    <t>EA</t>
  </si>
  <si>
    <t>Subtotal 1</t>
  </si>
  <si>
    <t>Site restoration</t>
  </si>
  <si>
    <t>%</t>
  </si>
  <si>
    <t>Construction layout</t>
  </si>
  <si>
    <t>As-builts</t>
  </si>
  <si>
    <t>Mobilization/ Demobilization</t>
  </si>
  <si>
    <t>Subtotal 2</t>
  </si>
  <si>
    <t>Contingency</t>
  </si>
  <si>
    <t>Total</t>
  </si>
  <si>
    <t>SAY</t>
  </si>
  <si>
    <t>Collection Sewers</t>
  </si>
  <si>
    <t>Westtown Farms</t>
  </si>
  <si>
    <t>20592388.olds1</t>
  </si>
  <si>
    <t>8" PVC Sewer (8-10' deep)</t>
  </si>
  <si>
    <t>LF</t>
  </si>
  <si>
    <t>8" PVC Sewer (10-15' deep)</t>
  </si>
  <si>
    <t>Main Road Crossing</t>
  </si>
  <si>
    <t>Small Pump Station</t>
  </si>
  <si>
    <t>Medium Pump Station</t>
  </si>
  <si>
    <t>Large Pump Station</t>
  </si>
  <si>
    <t>Road Restoration - Pavement @ 5' wide</t>
  </si>
  <si>
    <t>Grass Restoration - 20' wide</t>
  </si>
  <si>
    <t>Grinder Pumps</t>
  </si>
  <si>
    <t>purchase for plumber</t>
  </si>
  <si>
    <t>greater than 50 edus</t>
  </si>
  <si>
    <t>15-50 edus</t>
  </si>
  <si>
    <t>less than 15 edu's</t>
  </si>
  <si>
    <t>Manholes 10 - 15' deep</t>
  </si>
  <si>
    <t>Manholes 8 - 10' deep</t>
  </si>
  <si>
    <t>8" DIP Sewer (15 - 20' deep)</t>
  </si>
  <si>
    <t>includes sawcut</t>
  </si>
  <si>
    <t>Manholes 15 - 20' deep</t>
  </si>
  <si>
    <t>Erosion and Sedimentation Control</t>
  </si>
  <si>
    <t>Laterals w/ Cleanout</t>
  </si>
  <si>
    <t>includes paving, cleanout at P/L</t>
  </si>
  <si>
    <t>Stream Crossing</t>
  </si>
  <si>
    <t xml:space="preserve">Testing </t>
  </si>
  <si>
    <t>Traffic Control</t>
  </si>
  <si>
    <t>Pump Station Easements</t>
  </si>
  <si>
    <t>at $25,000/acre</t>
  </si>
  <si>
    <t>Air Release Valves</t>
  </si>
  <si>
    <t>Bonds and Insurance</t>
  </si>
  <si>
    <t>Sewer Easements at 20' wide</t>
  </si>
  <si>
    <t>4" PVC Force Main</t>
  </si>
  <si>
    <t xml:space="preserve">6" PVC Force Main </t>
  </si>
  <si>
    <t>Cost/EDU</t>
  </si>
  <si>
    <t>EDU's</t>
  </si>
  <si>
    <t>West Wynn I</t>
  </si>
  <si>
    <t>@$80/CY and used mid-depth of deep sewers (ie. 12.5' depth and 15' depth)</t>
  </si>
  <si>
    <t xml:space="preserve">Rock Deeper than 10' at 10 - 15' pipe </t>
  </si>
  <si>
    <t xml:space="preserve">Rock Deeper than 10' at 15 -20' pipe </t>
  </si>
  <si>
    <t>Edgewood Chase</t>
  </si>
  <si>
    <t>Grandview West, Land Grant, Pennwood South, Westover Farms, Crestwyn</t>
  </si>
  <si>
    <t>to tie into force main on Westtown road</t>
  </si>
  <si>
    <t>Grandview South East and Buttonwood</t>
  </si>
  <si>
    <t>to tie into sewer in overhill road</t>
  </si>
  <si>
    <t>Avon Lea and Garfield East</t>
  </si>
  <si>
    <t>to tie into sewer in Cardinal Dr</t>
  </si>
  <si>
    <t>Land Grant South</t>
  </si>
  <si>
    <t>Grandview NE and Valley Area</t>
  </si>
  <si>
    <t>Valley Area East</t>
  </si>
  <si>
    <t>split two ways</t>
  </si>
  <si>
    <t>Area Name</t>
  </si>
  <si>
    <t>Total Number of Dwelling Units</t>
  </si>
  <si>
    <t>Total Construction Cost</t>
  </si>
  <si>
    <t>Construction Cost per EDU</t>
  </si>
  <si>
    <t>Grandview West, etc.</t>
  </si>
  <si>
    <t>Legal, Admin., Engineering, Construction Review</t>
  </si>
  <si>
    <t>less than 15 edu's and one for Kirkwood Upgrade</t>
  </si>
  <si>
    <t>Chateau Drive, Shallow Hills</t>
  </si>
  <si>
    <t>Carolyn Drive, Hunt Drive, Hummingbird Farms, Tyson Drive</t>
  </si>
  <si>
    <t>Plum Lea Farms, Kilduf Circle</t>
  </si>
  <si>
    <t>Carolyn Dr., Hummingbird, etc.</t>
  </si>
  <si>
    <t>East of Chester Creek</t>
  </si>
  <si>
    <t>West Of Chester Creek</t>
  </si>
  <si>
    <t>Total Flow @ 250 gpd/EDU (gpd)</t>
  </si>
  <si>
    <t>Total to Chester Creek WWTP</t>
  </si>
  <si>
    <t>Total, East</t>
  </si>
  <si>
    <t>Total, West</t>
  </si>
  <si>
    <t>Grandview S.E, Butternut</t>
  </si>
  <si>
    <t>Grandview NE, West Lynn</t>
  </si>
  <si>
    <t>West Lynn</t>
  </si>
  <si>
    <t>Shiloh Hills</t>
  </si>
  <si>
    <t>Plumly Farm, Kilduff Circle</t>
  </si>
  <si>
    <t>Avonlea, Cardinal Dr.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</si>
</sst>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9" applyFont="1">
      <alignment/>
      <protection/>
    </xf>
    <xf numFmtId="0" fontId="1" fillId="0" borderId="0" xfId="19">
      <alignment/>
      <protection/>
    </xf>
    <xf numFmtId="44" fontId="1" fillId="0" borderId="0" xfId="17" applyFont="1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19" applyFont="1" applyAlignment="1">
      <alignment horizontal="center"/>
      <protection/>
    </xf>
    <xf numFmtId="0" fontId="1" fillId="0" borderId="0" xfId="19" applyAlignment="1">
      <alignment horizontal="center"/>
      <protection/>
    </xf>
    <xf numFmtId="44" fontId="1" fillId="0" borderId="0" xfId="17" applyAlignment="1">
      <alignment/>
    </xf>
    <xf numFmtId="44" fontId="1" fillId="0" borderId="0" xfId="19" applyNumberFormat="1">
      <alignment/>
      <protection/>
    </xf>
    <xf numFmtId="44" fontId="1" fillId="0" borderId="1" xfId="19" applyNumberFormat="1" applyBorder="1">
      <alignment/>
      <protection/>
    </xf>
    <xf numFmtId="0" fontId="1" fillId="0" borderId="0" xfId="19" applyBorder="1" applyAlignment="1">
      <alignment horizontal="center"/>
      <protection/>
    </xf>
    <xf numFmtId="0" fontId="1" fillId="0" borderId="0" xfId="19" applyBorder="1">
      <alignment/>
      <protection/>
    </xf>
    <xf numFmtId="44" fontId="2" fillId="0" borderId="0" xfId="17" applyFont="1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quotePrefix="1">
      <alignment/>
      <protection/>
    </xf>
    <xf numFmtId="0" fontId="1" fillId="0" borderId="0" xfId="19" applyFont="1" applyBorder="1">
      <alignment/>
      <protection/>
    </xf>
    <xf numFmtId="44" fontId="1" fillId="0" borderId="0" xfId="19" applyNumberFormat="1" applyBorder="1">
      <alignment/>
      <protection/>
    </xf>
    <xf numFmtId="0" fontId="2" fillId="0" borderId="0" xfId="19" applyFont="1" applyAlignment="1">
      <alignment/>
      <protection/>
    </xf>
    <xf numFmtId="0" fontId="2" fillId="0" borderId="2" xfId="19" applyFont="1" applyBorder="1" applyAlignment="1">
      <alignment horizontal="center"/>
      <protection/>
    </xf>
    <xf numFmtId="44" fontId="2" fillId="0" borderId="2" xfId="17" applyFont="1" applyBorder="1" applyAlignment="1">
      <alignment horizontal="center"/>
    </xf>
    <xf numFmtId="0" fontId="1" fillId="0" borderId="0" xfId="19" applyAlignment="1">
      <alignment horizontal="left"/>
      <protection/>
    </xf>
    <xf numFmtId="0" fontId="3" fillId="0" borderId="0" xfId="19" applyFont="1" applyAlignment="1">
      <alignment/>
      <protection/>
    </xf>
    <xf numFmtId="0" fontId="1" fillId="0" borderId="0" xfId="19" applyAlignment="1">
      <alignment horizontal="center" vertical="center" wrapText="1"/>
      <protection/>
    </xf>
    <xf numFmtId="165" fontId="1" fillId="0" borderId="0" xfId="15" applyNumberFormat="1" applyAlignment="1">
      <alignment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right"/>
      <protection/>
    </xf>
    <xf numFmtId="165" fontId="1" fillId="0" borderId="0" xfId="15" applyNumberFormat="1" applyBorder="1" applyAlignment="1">
      <alignment/>
    </xf>
    <xf numFmtId="0" fontId="1" fillId="0" borderId="1" xfId="19" applyBorder="1">
      <alignment/>
      <protection/>
    </xf>
    <xf numFmtId="165" fontId="1" fillId="0" borderId="1" xfId="15" applyNumberFormat="1" applyBorder="1" applyAlignment="1">
      <alignment/>
    </xf>
    <xf numFmtId="0" fontId="2" fillId="0" borderId="0" xfId="19" applyFont="1" applyAlignment="1">
      <alignment horizontal="center"/>
      <protection/>
    </xf>
    <xf numFmtId="0" fontId="2" fillId="0" borderId="0" xfId="19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stEstimate1-13-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G24" sqref="G24"/>
    </sheetView>
  </sheetViews>
  <sheetFormatPr defaultColWidth="9.33203125" defaultRowHeight="12.75"/>
  <cols>
    <col min="1" max="1" width="10.66015625" style="6" customWidth="1"/>
    <col min="2" max="2" width="47.6601562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ht="12.75"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18" t="s">
        <v>29</v>
      </c>
      <c r="C10" s="18"/>
      <c r="D10" s="18"/>
      <c r="E10" s="18">
        <v>71</v>
      </c>
      <c r="F10" s="1" t="s">
        <v>64</v>
      </c>
    </row>
    <row r="11" spans="2:6" ht="12.75"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3:5" ht="12.75"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6">
        <f>1300+150+800+220+200+100+150+600+150+320+800+850</f>
        <v>5640</v>
      </c>
      <c r="E14" s="7">
        <v>52</v>
      </c>
      <c r="F14" s="8">
        <f aca="true" t="shared" si="0" ref="F14:F35">D14*E14</f>
        <v>293280</v>
      </c>
    </row>
    <row r="15" spans="1:6" ht="12.75">
      <c r="A15" s="6">
        <v>2</v>
      </c>
      <c r="B15" s="13" t="s">
        <v>33</v>
      </c>
      <c r="C15" s="14" t="s">
        <v>32</v>
      </c>
      <c r="D15" s="6">
        <v>500</v>
      </c>
      <c r="E15" s="7">
        <v>65</v>
      </c>
      <c r="F15" s="8">
        <f t="shared" si="0"/>
        <v>32500</v>
      </c>
    </row>
    <row r="16" spans="1:6" ht="12.75">
      <c r="A16" s="6">
        <v>3</v>
      </c>
      <c r="B16" s="13" t="s">
        <v>47</v>
      </c>
      <c r="C16" s="14" t="s">
        <v>32</v>
      </c>
      <c r="D16" s="6">
        <v>500</v>
      </c>
      <c r="E16" s="7">
        <v>100</v>
      </c>
      <c r="F16" s="8">
        <f t="shared" si="0"/>
        <v>50000</v>
      </c>
    </row>
    <row r="17" spans="1:6" ht="12.75">
      <c r="A17" s="6">
        <v>4</v>
      </c>
      <c r="B17" s="13" t="s">
        <v>34</v>
      </c>
      <c r="C17" s="14" t="s">
        <v>17</v>
      </c>
      <c r="D17" s="6">
        <v>2</v>
      </c>
      <c r="E17" s="7">
        <v>5000</v>
      </c>
      <c r="F17" s="8">
        <f t="shared" si="0"/>
        <v>10000</v>
      </c>
    </row>
    <row r="18" spans="1:8" ht="12.75">
      <c r="A18" s="6">
        <v>5</v>
      </c>
      <c r="B18" s="13" t="s">
        <v>35</v>
      </c>
      <c r="C18" s="14" t="s">
        <v>17</v>
      </c>
      <c r="D18" s="6">
        <v>3</v>
      </c>
      <c r="E18" s="7">
        <v>75000</v>
      </c>
      <c r="F18" s="8">
        <f t="shared" si="0"/>
        <v>225000</v>
      </c>
      <c r="H18" s="13" t="s">
        <v>86</v>
      </c>
    </row>
    <row r="19" spans="1:8" ht="12.75">
      <c r="A19" s="6">
        <v>6</v>
      </c>
      <c r="B19" s="13" t="s">
        <v>36</v>
      </c>
      <c r="C19" s="14" t="s">
        <v>17</v>
      </c>
      <c r="D19" s="6">
        <v>0</v>
      </c>
      <c r="E19" s="7">
        <v>200000</v>
      </c>
      <c r="F19" s="8">
        <f t="shared" si="0"/>
        <v>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2</v>
      </c>
      <c r="E21" s="7">
        <v>20000</v>
      </c>
      <c r="F21" s="8">
        <f t="shared" si="0"/>
        <v>40000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D14-900</f>
        <v>4740</v>
      </c>
      <c r="E22" s="7">
        <v>3.5</v>
      </c>
      <c r="F22" s="8">
        <f t="shared" si="0"/>
        <v>16590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D14-D22</f>
        <v>900</v>
      </c>
      <c r="E23" s="7">
        <v>1.5</v>
      </c>
      <c r="F23" s="8">
        <f t="shared" si="0"/>
        <v>1350</v>
      </c>
    </row>
    <row r="24" spans="1:8" ht="12.75">
      <c r="A24" s="6">
        <v>11</v>
      </c>
      <c r="B24" s="13" t="s">
        <v>40</v>
      </c>
      <c r="C24" s="14" t="s">
        <v>17</v>
      </c>
      <c r="D24" s="6">
        <v>1</v>
      </c>
      <c r="E24" s="7">
        <v>3500</v>
      </c>
      <c r="F24" s="8">
        <f t="shared" si="0"/>
        <v>3500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20</v>
      </c>
      <c r="E25" s="7">
        <v>1500</v>
      </c>
      <c r="F25" s="8">
        <f t="shared" si="0"/>
        <v>30000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3</v>
      </c>
      <c r="E26" s="7">
        <v>2000</v>
      </c>
      <c r="F26" s="8">
        <f t="shared" si="0"/>
        <v>6000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3</v>
      </c>
      <c r="E27" s="7">
        <v>3000</v>
      </c>
      <c r="F27" s="8">
        <f t="shared" si="0"/>
        <v>9000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71</v>
      </c>
      <c r="E28" s="7">
        <v>3000</v>
      </c>
      <c r="F28" s="8">
        <f t="shared" si="0"/>
        <v>213000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0</v>
      </c>
      <c r="E29" s="7">
        <v>20000</v>
      </c>
      <c r="F29" s="8">
        <f t="shared" si="0"/>
        <v>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900</v>
      </c>
      <c r="E30" s="7">
        <v>12</v>
      </c>
      <c r="F30" s="8">
        <f t="shared" si="0"/>
        <v>10800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950</v>
      </c>
      <c r="E31" s="7">
        <v>25</v>
      </c>
      <c r="F31" s="8">
        <f t="shared" si="0"/>
        <v>23750</v>
      </c>
      <c r="H31" s="13" t="s">
        <v>79</v>
      </c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500</v>
      </c>
      <c r="E34" s="7">
        <v>32</v>
      </c>
      <c r="F34" s="8">
        <f t="shared" si="0"/>
        <v>16000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500</v>
      </c>
      <c r="E35" s="7">
        <v>63</v>
      </c>
      <c r="F35" s="8">
        <f t="shared" si="0"/>
        <v>31500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1012270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10122.7</v>
      </c>
      <c r="F39" s="8">
        <f aca="true" t="shared" si="2" ref="F39:F46">D39*E39</f>
        <v>20245.4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10122.7</v>
      </c>
      <c r="F40" s="8">
        <f t="shared" si="2"/>
        <v>20245.4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10122.7</v>
      </c>
      <c r="F41" s="8">
        <f t="shared" si="2"/>
        <v>25306.75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10122.7</v>
      </c>
      <c r="F42" s="8">
        <f t="shared" si="2"/>
        <v>10122.7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10122.7</v>
      </c>
      <c r="F43" s="8">
        <f t="shared" si="2"/>
        <v>10122.7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10122.7</v>
      </c>
      <c r="F44" s="8">
        <f t="shared" si="2"/>
        <v>10122.7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10122.7</v>
      </c>
      <c r="F45" s="8">
        <f t="shared" si="2"/>
        <v>15184.050000000001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10122.7</v>
      </c>
      <c r="F46" s="9">
        <f t="shared" si="2"/>
        <v>20245.4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1143865.0999999999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11438.650999999998</v>
      </c>
      <c r="F50" s="8">
        <f>D50*E50</f>
        <v>228773.01999999996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11438.650999999998</v>
      </c>
      <c r="F51" s="9">
        <f>D51*E51</f>
        <v>228773.01999999996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1601411.14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1601000</v>
      </c>
    </row>
    <row r="57" spans="5:6" ht="12.75">
      <c r="E57" s="13" t="s">
        <v>63</v>
      </c>
      <c r="F57" s="7">
        <f>F55/E10</f>
        <v>22549.295774647886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1" r:id="rId1"/>
  <headerFooter alignWithMargins="0">
    <oddFooter>&amp;L&amp;8h/projects/Ridgely/&amp;F   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13" sqref="C13"/>
    </sheetView>
  </sheetViews>
  <sheetFormatPr defaultColWidth="9.33203125" defaultRowHeight="12.75"/>
  <cols>
    <col min="1" max="1" width="9.33203125" style="2" customWidth="1"/>
    <col min="2" max="2" width="28.66015625" style="6" customWidth="1"/>
    <col min="3" max="3" width="15" style="2" customWidth="1"/>
    <col min="4" max="4" width="4.16015625" style="2" customWidth="1"/>
    <col min="5" max="7" width="18" style="2" customWidth="1"/>
    <col min="8" max="8" width="17.66015625" style="2" customWidth="1"/>
    <col min="9" max="9" width="10.66015625" style="2" customWidth="1"/>
    <col min="10" max="10" width="16.83203125" style="2" customWidth="1"/>
    <col min="11" max="16384" width="10.66015625" style="2" customWidth="1"/>
  </cols>
  <sheetData>
    <row r="1" spans="1:6" ht="12.75">
      <c r="A1" s="4"/>
      <c r="E1" s="3"/>
      <c r="F1" s="4"/>
    </row>
    <row r="2" spans="1:8" ht="12.75">
      <c r="A2" s="30"/>
      <c r="B2" s="30"/>
      <c r="C2" s="30"/>
      <c r="D2" s="30"/>
      <c r="E2" s="30"/>
      <c r="F2" s="30"/>
      <c r="G2" s="30"/>
      <c r="H2" s="5"/>
    </row>
    <row r="3" spans="2:4" ht="12.75">
      <c r="B3" s="2"/>
      <c r="C3" s="4"/>
      <c r="D3" s="4"/>
    </row>
    <row r="4" spans="1:8" ht="15.75">
      <c r="A4" s="32"/>
      <c r="B4" s="32"/>
      <c r="C4" s="32"/>
      <c r="D4" s="32"/>
      <c r="E4" s="32"/>
      <c r="F4" s="32"/>
      <c r="G4" s="32"/>
      <c r="H4" s="1"/>
    </row>
    <row r="5" spans="2:8" ht="12.75">
      <c r="B5" s="2"/>
      <c r="C5" s="5"/>
      <c r="D5" s="5"/>
      <c r="E5" s="5"/>
      <c r="F5" s="5"/>
      <c r="G5" s="5"/>
      <c r="H5" s="5"/>
    </row>
    <row r="6" spans="1:7" s="23" customFormat="1" ht="51">
      <c r="A6" s="31" t="s">
        <v>80</v>
      </c>
      <c r="B6" s="31"/>
      <c r="C6" s="25" t="s">
        <v>81</v>
      </c>
      <c r="D6" s="25"/>
      <c r="E6" s="25" t="s">
        <v>82</v>
      </c>
      <c r="F6" s="25" t="s">
        <v>83</v>
      </c>
      <c r="G6" s="25" t="s">
        <v>93</v>
      </c>
    </row>
    <row r="7" spans="1:7" ht="12.75">
      <c r="A7" s="1" t="s">
        <v>91</v>
      </c>
      <c r="C7" s="11"/>
      <c r="D7" s="11"/>
      <c r="E7" s="11"/>
      <c r="F7" s="11"/>
      <c r="G7" s="11"/>
    </row>
    <row r="8" spans="2:10" ht="12.75">
      <c r="B8" s="6" t="str">
        <f>'Westtown Farms'!A10</f>
        <v>Westtown Farms</v>
      </c>
      <c r="C8" s="11">
        <f>'Westtown Farms'!E10</f>
        <v>71</v>
      </c>
      <c r="D8" s="11"/>
      <c r="E8" s="17">
        <f>'Westtown Farms'!F55</f>
        <v>1601000</v>
      </c>
      <c r="F8" s="17">
        <f>ROUND(J8,-2)</f>
        <v>22500</v>
      </c>
      <c r="G8" s="27">
        <f>C8*250</f>
        <v>17750</v>
      </c>
      <c r="J8" s="8">
        <f aca="true" t="shared" si="0" ref="J8:J17">E8/C8</f>
        <v>22549.295774647886</v>
      </c>
    </row>
    <row r="9" spans="2:10" ht="12.75">
      <c r="B9" s="6" t="str">
        <f>'West Wynn I'!A10</f>
        <v>West Wynn I</v>
      </c>
      <c r="C9" s="11">
        <f>'West Wynn I'!E10</f>
        <v>59</v>
      </c>
      <c r="D9" s="11"/>
      <c r="E9" s="17">
        <f>'West Wynn I'!F55</f>
        <v>1087000</v>
      </c>
      <c r="F9" s="17">
        <f aca="true" t="shared" si="1" ref="F9:F25">ROUND(J9,-2)</f>
        <v>18400</v>
      </c>
      <c r="G9" s="27">
        <f aca="true" t="shared" si="2" ref="G9:G22">C9*250</f>
        <v>14750</v>
      </c>
      <c r="J9" s="8">
        <f t="shared" si="0"/>
        <v>18423.728813559323</v>
      </c>
    </row>
    <row r="10" spans="2:10" ht="12.75">
      <c r="B10" s="6" t="str">
        <f>'Edgewood Chase'!A10</f>
        <v>Edgewood Chase</v>
      </c>
      <c r="C10" s="11">
        <f>'Edgewood Chase'!E10</f>
        <v>52</v>
      </c>
      <c r="D10" s="11"/>
      <c r="E10" s="17">
        <f>'Edgewood Chase'!F55</f>
        <v>1319000</v>
      </c>
      <c r="F10" s="17">
        <f t="shared" si="1"/>
        <v>25400</v>
      </c>
      <c r="G10" s="27">
        <f t="shared" si="2"/>
        <v>13000</v>
      </c>
      <c r="J10" s="8">
        <f t="shared" si="0"/>
        <v>25365.384615384617</v>
      </c>
    </row>
    <row r="11" spans="2:10" ht="12.75">
      <c r="B11" s="14" t="s">
        <v>84</v>
      </c>
      <c r="C11" s="11">
        <f>'Grandview West, etc.'!E10</f>
        <v>222</v>
      </c>
      <c r="D11" s="11"/>
      <c r="E11" s="17">
        <f>'Grandview West, etc.'!F55</f>
        <v>3885000</v>
      </c>
      <c r="F11" s="17">
        <f t="shared" si="1"/>
        <v>17500</v>
      </c>
      <c r="G11" s="27">
        <f t="shared" si="2"/>
        <v>55500</v>
      </c>
      <c r="J11" s="8">
        <f t="shared" si="0"/>
        <v>17500</v>
      </c>
    </row>
    <row r="12" spans="2:10" ht="12.75">
      <c r="B12" s="14" t="s">
        <v>97</v>
      </c>
      <c r="C12" s="11">
        <f>'Grandview S.East, Buttonwood'!E10</f>
        <v>63</v>
      </c>
      <c r="D12" s="11"/>
      <c r="E12" s="17">
        <f>'Grandview S.East, Buttonwood'!F55</f>
        <v>1331000</v>
      </c>
      <c r="F12" s="17">
        <f t="shared" si="1"/>
        <v>21100</v>
      </c>
      <c r="G12" s="27">
        <f t="shared" si="2"/>
        <v>15750</v>
      </c>
      <c r="J12" s="8">
        <f t="shared" si="0"/>
        <v>21126.984126984127</v>
      </c>
    </row>
    <row r="13" spans="2:10" ht="12.75">
      <c r="B13" s="14" t="s">
        <v>102</v>
      </c>
      <c r="C13" s="11">
        <f>'Avon Lea, Garfield East'!E10</f>
        <v>54</v>
      </c>
      <c r="D13" s="11"/>
      <c r="E13" s="17">
        <f>'Avon Lea, Garfield East'!F55</f>
        <v>1241000</v>
      </c>
      <c r="F13" s="17">
        <f t="shared" si="1"/>
        <v>23000</v>
      </c>
      <c r="G13" s="27">
        <f t="shared" si="2"/>
        <v>13500</v>
      </c>
      <c r="J13" s="8">
        <f t="shared" si="0"/>
        <v>22981.48148148148</v>
      </c>
    </row>
    <row r="14" spans="2:10" ht="12.75">
      <c r="B14" s="6" t="str">
        <f>'Land Grant South'!A10</f>
        <v>Land Grant South</v>
      </c>
      <c r="C14" s="11">
        <f>'Land Grant South'!E10</f>
        <v>11</v>
      </c>
      <c r="D14" s="11"/>
      <c r="E14" s="17">
        <f>'Land Grant South'!F55</f>
        <v>292000</v>
      </c>
      <c r="F14" s="17">
        <f t="shared" si="1"/>
        <v>26500</v>
      </c>
      <c r="G14" s="27">
        <f t="shared" si="2"/>
        <v>2750</v>
      </c>
      <c r="J14" s="8">
        <f t="shared" si="0"/>
        <v>26545.454545454544</v>
      </c>
    </row>
    <row r="15" spans="2:10" ht="12.75">
      <c r="B15" s="14" t="s">
        <v>98</v>
      </c>
      <c r="C15" s="11">
        <f>'Grandview NE, Valley Area'!E10</f>
        <v>56</v>
      </c>
      <c r="D15" s="11"/>
      <c r="E15" s="17">
        <f>'Grandview NE, Valley Area'!F55</f>
        <v>823000</v>
      </c>
      <c r="F15" s="17">
        <f t="shared" si="1"/>
        <v>14700</v>
      </c>
      <c r="G15" s="27">
        <f t="shared" si="2"/>
        <v>14000</v>
      </c>
      <c r="J15" s="8">
        <f t="shared" si="0"/>
        <v>14696.42857142857</v>
      </c>
    </row>
    <row r="16" spans="2:10" ht="12.75">
      <c r="B16" s="14" t="s">
        <v>99</v>
      </c>
      <c r="C16" s="28">
        <f>'Valley Area East'!E10</f>
        <v>24</v>
      </c>
      <c r="D16" s="28"/>
      <c r="E16" s="9">
        <f>'Valley Area East'!F55</f>
        <v>600000</v>
      </c>
      <c r="F16" s="9">
        <f t="shared" si="1"/>
        <v>25000</v>
      </c>
      <c r="G16" s="29">
        <f t="shared" si="2"/>
        <v>6000</v>
      </c>
      <c r="J16" s="8">
        <f t="shared" si="0"/>
        <v>25000</v>
      </c>
    </row>
    <row r="17" spans="2:10" ht="12.75">
      <c r="B17" s="5" t="s">
        <v>95</v>
      </c>
      <c r="C17" s="2">
        <f>SUM(C8:C16)</f>
        <v>612</v>
      </c>
      <c r="E17" s="8">
        <f>SUM(E8:E16)</f>
        <v>12179000</v>
      </c>
      <c r="F17" s="8">
        <f t="shared" si="1"/>
        <v>19900</v>
      </c>
      <c r="G17" s="24">
        <f>SUM(G8:G16)</f>
        <v>153000</v>
      </c>
      <c r="J17" s="8">
        <f t="shared" si="0"/>
        <v>19900.32679738562</v>
      </c>
    </row>
    <row r="18" spans="5:10" ht="12.75">
      <c r="E18" s="8"/>
      <c r="F18" s="8"/>
      <c r="G18" s="24"/>
      <c r="J18" s="8"/>
    </row>
    <row r="19" spans="1:10" ht="12.75">
      <c r="A19" s="1" t="s">
        <v>92</v>
      </c>
      <c r="E19" s="8"/>
      <c r="F19" s="8"/>
      <c r="G19" s="24"/>
      <c r="J19" s="8"/>
    </row>
    <row r="20" spans="2:10" ht="12.75">
      <c r="B20" s="14" t="s">
        <v>100</v>
      </c>
      <c r="C20" s="11">
        <f>'Chateau Dr,Shallow Hills'!E10</f>
        <v>31</v>
      </c>
      <c r="D20" s="11"/>
      <c r="E20" s="17">
        <f>'Chateau Dr,Shallow Hills'!F55</f>
        <v>1039000</v>
      </c>
      <c r="F20" s="17">
        <f t="shared" si="1"/>
        <v>33500</v>
      </c>
      <c r="G20" s="27">
        <f t="shared" si="2"/>
        <v>7750</v>
      </c>
      <c r="J20" s="8">
        <f>E20/C20</f>
        <v>33516.12903225807</v>
      </c>
    </row>
    <row r="21" spans="2:10" ht="12.75">
      <c r="B21" s="14" t="s">
        <v>90</v>
      </c>
      <c r="C21" s="11">
        <f>'Carylyn Dr., Hummingbird Etc.'!E10</f>
        <v>167</v>
      </c>
      <c r="D21" s="11"/>
      <c r="E21" s="17">
        <f>'Carylyn Dr., Hummingbird Etc.'!F55</f>
        <v>4556000</v>
      </c>
      <c r="F21" s="17">
        <f t="shared" si="1"/>
        <v>27300</v>
      </c>
      <c r="G21" s="27">
        <f t="shared" si="2"/>
        <v>41750</v>
      </c>
      <c r="J21" s="8">
        <f>E21/C21</f>
        <v>27281.437125748504</v>
      </c>
    </row>
    <row r="22" spans="2:10" ht="12.75">
      <c r="B22" s="14" t="s">
        <v>101</v>
      </c>
      <c r="C22" s="28">
        <f>'Plum Lea Farms, Kilduf'!E10</f>
        <v>120</v>
      </c>
      <c r="D22" s="28"/>
      <c r="E22" s="9">
        <f>'Plum Lea Farms, Kilduf'!F55</f>
        <v>3592000</v>
      </c>
      <c r="F22" s="9">
        <f t="shared" si="1"/>
        <v>29900</v>
      </c>
      <c r="G22" s="29">
        <f t="shared" si="2"/>
        <v>30000</v>
      </c>
      <c r="J22" s="8">
        <f>E22/C22</f>
        <v>29933.333333333332</v>
      </c>
    </row>
    <row r="23" spans="2:10" ht="12.75">
      <c r="B23" s="5" t="s">
        <v>96</v>
      </c>
      <c r="C23" s="2">
        <f>SUM(C20:C22)</f>
        <v>318</v>
      </c>
      <c r="E23" s="8">
        <f>SUM(E20:E22)</f>
        <v>9187000</v>
      </c>
      <c r="F23" s="8">
        <f t="shared" si="1"/>
        <v>28900</v>
      </c>
      <c r="G23" s="24">
        <f>SUM(G20:G22)</f>
        <v>79500</v>
      </c>
      <c r="J23" s="8">
        <f>E23/C23</f>
        <v>28889.937106918238</v>
      </c>
    </row>
    <row r="25" spans="2:10" ht="12.75">
      <c r="B25" s="26" t="s">
        <v>94</v>
      </c>
      <c r="C25" s="2">
        <f>C17+C23</f>
        <v>930</v>
      </c>
      <c r="E25" s="8">
        <f>E17+E23</f>
        <v>21366000</v>
      </c>
      <c r="F25" s="8">
        <f t="shared" si="1"/>
        <v>23000</v>
      </c>
      <c r="G25" s="24">
        <f>G17+G23</f>
        <v>232500</v>
      </c>
      <c r="J25" s="8">
        <f>E25/C25</f>
        <v>22974.1935483871</v>
      </c>
    </row>
  </sheetData>
  <mergeCells count="3">
    <mergeCell ref="A6:B6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scale="89" r:id="rId1"/>
  <headerFooter alignWithMargins="0">
    <oddHeader>&amp;C&amp;"Times New Roman,Bold"TABLE III-1
WESTTOWN-CHESTER CREEK STUDY AREA
COLLECTION AND CONVEYANCE SYSTEM
OPINION OF COSTS</oddHeader>
    <oddFooter>&amp;R&amp;6k:westtown\addendum\tables\III-1.xls</oddFooter>
  </headerFooter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E11" sqref="E11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22" t="s">
        <v>87</v>
      </c>
      <c r="C10" s="18"/>
      <c r="D10" s="18"/>
      <c r="E10" s="18">
        <v>31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14">
        <f>200+200+350+450+600+400+150+500</f>
        <v>2850</v>
      </c>
      <c r="E14" s="7">
        <v>52</v>
      </c>
      <c r="F14" s="8">
        <f aca="true" t="shared" si="0" ref="F14:F35">D14*E14</f>
        <v>148200</v>
      </c>
    </row>
    <row r="15" spans="1:6" ht="12.75">
      <c r="A15" s="6">
        <v>2</v>
      </c>
      <c r="B15" s="13" t="s">
        <v>33</v>
      </c>
      <c r="C15" s="14" t="s">
        <v>32</v>
      </c>
      <c r="D15" s="6">
        <v>0</v>
      </c>
      <c r="E15" s="7">
        <v>65</v>
      </c>
      <c r="F15" s="8">
        <f t="shared" si="0"/>
        <v>0</v>
      </c>
    </row>
    <row r="16" spans="1:6" ht="12.75">
      <c r="A16" s="6">
        <v>3</v>
      </c>
      <c r="B16" s="13" t="s">
        <v>47</v>
      </c>
      <c r="C16" s="14" t="s">
        <v>32</v>
      </c>
      <c r="D16" s="6">
        <v>0</v>
      </c>
      <c r="E16" s="7">
        <v>100</v>
      </c>
      <c r="F16" s="8">
        <f t="shared" si="0"/>
        <v>0</v>
      </c>
    </row>
    <row r="17" spans="1:6" ht="12.75">
      <c r="A17" s="6">
        <v>4</v>
      </c>
      <c r="B17" s="13" t="s">
        <v>34</v>
      </c>
      <c r="C17" s="14" t="s">
        <v>17</v>
      </c>
      <c r="D17" s="6">
        <v>0</v>
      </c>
      <c r="E17" s="7">
        <v>5000</v>
      </c>
      <c r="F17" s="8">
        <f t="shared" si="0"/>
        <v>0</v>
      </c>
    </row>
    <row r="18" spans="1:8" ht="12.75">
      <c r="A18" s="6">
        <v>5</v>
      </c>
      <c r="B18" s="13" t="s">
        <v>35</v>
      </c>
      <c r="C18" s="14" t="s">
        <v>17</v>
      </c>
      <c r="D18" s="6">
        <v>0</v>
      </c>
      <c r="E18" s="7">
        <v>75000</v>
      </c>
      <c r="F18" s="8">
        <f t="shared" si="0"/>
        <v>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1</v>
      </c>
      <c r="E19" s="7">
        <v>200000</v>
      </c>
      <c r="F19" s="8">
        <f t="shared" si="0"/>
        <v>200000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1</v>
      </c>
      <c r="E21" s="7">
        <v>20000</v>
      </c>
      <c r="F21" s="8">
        <f t="shared" si="0"/>
        <v>20000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D14-400-150</f>
        <v>2300</v>
      </c>
      <c r="E22" s="7">
        <v>3.5</v>
      </c>
      <c r="F22" s="8">
        <f t="shared" si="0"/>
        <v>8050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D14+D15+D16-D22</f>
        <v>550</v>
      </c>
      <c r="E23" s="7">
        <v>1.5</v>
      </c>
      <c r="F23" s="8">
        <f t="shared" si="0"/>
        <v>825</v>
      </c>
    </row>
    <row r="24" spans="1:8" ht="12.75">
      <c r="A24" s="6">
        <v>11</v>
      </c>
      <c r="B24" s="13" t="s">
        <v>40</v>
      </c>
      <c r="C24" s="14" t="s">
        <v>17</v>
      </c>
      <c r="D24" s="6">
        <v>7</v>
      </c>
      <c r="E24" s="7">
        <v>3500</v>
      </c>
      <c r="F24" s="8">
        <f t="shared" si="0"/>
        <v>24500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12</v>
      </c>
      <c r="E25" s="7">
        <v>1500</v>
      </c>
      <c r="F25" s="8">
        <f t="shared" si="0"/>
        <v>18000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0</v>
      </c>
      <c r="E26" s="7">
        <v>2000</v>
      </c>
      <c r="F26" s="8">
        <f t="shared" si="0"/>
        <v>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0</v>
      </c>
      <c r="E27" s="7">
        <v>3000</v>
      </c>
      <c r="F27" s="8">
        <f t="shared" si="0"/>
        <v>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29</v>
      </c>
      <c r="E28" s="7">
        <v>3000</v>
      </c>
      <c r="F28" s="8">
        <f t="shared" si="0"/>
        <v>87000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3</v>
      </c>
      <c r="E29" s="7">
        <v>20000</v>
      </c>
      <c r="F29" s="8">
        <f t="shared" si="0"/>
        <v>60000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2300</v>
      </c>
      <c r="E30" s="7">
        <v>12</v>
      </c>
      <c r="F30" s="8">
        <f t="shared" si="0"/>
        <v>27600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2200</v>
      </c>
      <c r="E31" s="7">
        <v>25</v>
      </c>
      <c r="F31" s="8">
        <f t="shared" si="0"/>
        <v>55000</v>
      </c>
      <c r="H31" s="13"/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1</v>
      </c>
      <c r="E33" s="7">
        <v>7500</v>
      </c>
      <c r="F33" s="8">
        <f t="shared" si="0"/>
        <v>7500</v>
      </c>
    </row>
    <row r="34" spans="1:8" ht="12.75">
      <c r="A34" s="6">
        <v>21</v>
      </c>
      <c r="B34" s="13" t="s">
        <v>67</v>
      </c>
      <c r="C34" s="14" t="s">
        <v>32</v>
      </c>
      <c r="D34" s="6">
        <v>0</v>
      </c>
      <c r="E34" s="7">
        <v>32</v>
      </c>
      <c r="F34" s="8">
        <f t="shared" si="0"/>
        <v>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0</v>
      </c>
      <c r="E35" s="7">
        <v>63</v>
      </c>
      <c r="F35" s="8">
        <f t="shared" si="0"/>
        <v>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656675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6566.75</v>
      </c>
      <c r="F39" s="8">
        <f aca="true" t="shared" si="2" ref="F39:F46">D39*E39</f>
        <v>13133.5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6566.75</v>
      </c>
      <c r="F40" s="8">
        <f t="shared" si="2"/>
        <v>13133.5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6566.75</v>
      </c>
      <c r="F41" s="8">
        <f t="shared" si="2"/>
        <v>16416.875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6566.75</v>
      </c>
      <c r="F42" s="8">
        <f t="shared" si="2"/>
        <v>6566.75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6566.75</v>
      </c>
      <c r="F43" s="8">
        <f t="shared" si="2"/>
        <v>6566.75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6566.75</v>
      </c>
      <c r="F44" s="8">
        <f t="shared" si="2"/>
        <v>6566.75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6566.75</v>
      </c>
      <c r="F45" s="8">
        <f t="shared" si="2"/>
        <v>9850.125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6566.75</v>
      </c>
      <c r="F46" s="9">
        <f t="shared" si="2"/>
        <v>13133.5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742042.75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7420.4275</v>
      </c>
      <c r="F50" s="8">
        <f>D50*E50</f>
        <v>148408.55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7420.4275</v>
      </c>
      <c r="F51" s="9">
        <f>D51*E51</f>
        <v>148408.55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1038859.8500000001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1039000</v>
      </c>
    </row>
    <row r="56" spans="5:6" ht="12.75">
      <c r="E56" s="13" t="s">
        <v>63</v>
      </c>
      <c r="F56" s="7">
        <f>F53/E10</f>
        <v>33511.608064516135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&amp;L&amp;8h/projects/Ridgely/&amp;F    &amp;A&amp;R&amp;D</oddFooter>
  </headerFooter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11" sqref="E11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22" t="s">
        <v>88</v>
      </c>
      <c r="C10" s="18"/>
      <c r="D10" s="18"/>
      <c r="E10" s="18">
        <v>167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14">
        <f>1400+1600+700+1250+450+20+20+40+150+200+200+300+600+250+250+300+600+1550+550+650+450+500+350+600+450+900+950+4900+250+150+200+250+300+550+400+150+100+250+100+500+800+300+350+500+250+700+500+500+400-1000</f>
        <v>26680</v>
      </c>
      <c r="E14" s="7">
        <v>52</v>
      </c>
      <c r="F14" s="8">
        <f aca="true" t="shared" si="0" ref="F14:F35">D14*E14</f>
        <v>1387360</v>
      </c>
    </row>
    <row r="15" spans="1:6" ht="12.75">
      <c r="A15" s="6">
        <v>2</v>
      </c>
      <c r="B15" s="13" t="s">
        <v>33</v>
      </c>
      <c r="C15" s="14" t="s">
        <v>32</v>
      </c>
      <c r="D15" s="6">
        <v>1000</v>
      </c>
      <c r="E15" s="7">
        <v>65</v>
      </c>
      <c r="F15" s="8">
        <f t="shared" si="0"/>
        <v>65000</v>
      </c>
    </row>
    <row r="16" spans="1:6" ht="12.75">
      <c r="A16" s="6">
        <v>3</v>
      </c>
      <c r="B16" s="13" t="s">
        <v>47</v>
      </c>
      <c r="C16" s="14" t="s">
        <v>32</v>
      </c>
      <c r="D16" s="6">
        <v>0</v>
      </c>
      <c r="E16" s="7">
        <v>100</v>
      </c>
      <c r="F16" s="8">
        <f t="shared" si="0"/>
        <v>0</v>
      </c>
    </row>
    <row r="17" spans="1:6" ht="12.75">
      <c r="A17" s="6">
        <v>4</v>
      </c>
      <c r="B17" s="13" t="s">
        <v>34</v>
      </c>
      <c r="C17" s="14" t="s">
        <v>17</v>
      </c>
      <c r="D17" s="6">
        <v>3</v>
      </c>
      <c r="E17" s="7">
        <v>5000</v>
      </c>
      <c r="F17" s="8">
        <f t="shared" si="0"/>
        <v>15000</v>
      </c>
    </row>
    <row r="18" spans="1:8" ht="12.75">
      <c r="A18" s="6">
        <v>5</v>
      </c>
      <c r="B18" s="13" t="s">
        <v>35</v>
      </c>
      <c r="C18" s="14" t="s">
        <v>17</v>
      </c>
      <c r="D18" s="6">
        <v>2</v>
      </c>
      <c r="E18" s="7">
        <v>75000</v>
      </c>
      <c r="F18" s="8">
        <f t="shared" si="0"/>
        <v>150000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1</v>
      </c>
      <c r="E19" s="7">
        <v>200000</v>
      </c>
      <c r="F19" s="8">
        <f t="shared" si="0"/>
        <v>200000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1</v>
      </c>
      <c r="E21" s="7">
        <v>20000</v>
      </c>
      <c r="F21" s="8">
        <f t="shared" si="0"/>
        <v>20000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D14-450-200-200-650-450-500-350-550-300-350-500-400</f>
        <v>21780</v>
      </c>
      <c r="E22" s="7">
        <v>3.5</v>
      </c>
      <c r="F22" s="8">
        <f t="shared" si="0"/>
        <v>76230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D14+D15+D16-D22</f>
        <v>5900</v>
      </c>
      <c r="E23" s="7">
        <v>1.5</v>
      </c>
      <c r="F23" s="8">
        <f t="shared" si="0"/>
        <v>8850</v>
      </c>
    </row>
    <row r="24" spans="1:8" ht="12.75">
      <c r="A24" s="6">
        <v>11</v>
      </c>
      <c r="B24" s="13" t="s">
        <v>40</v>
      </c>
      <c r="C24" s="14" t="s">
        <v>17</v>
      </c>
      <c r="D24" s="6">
        <v>3</v>
      </c>
      <c r="E24" s="7">
        <v>3500</v>
      </c>
      <c r="F24" s="8">
        <f t="shared" si="0"/>
        <v>10500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78</v>
      </c>
      <c r="E25" s="7">
        <v>1500</v>
      </c>
      <c r="F25" s="8">
        <f t="shared" si="0"/>
        <v>117000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5</v>
      </c>
      <c r="E26" s="7">
        <v>2000</v>
      </c>
      <c r="F26" s="8">
        <f t="shared" si="0"/>
        <v>10000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0</v>
      </c>
      <c r="E27" s="7">
        <v>3000</v>
      </c>
      <c r="F27" s="8">
        <f t="shared" si="0"/>
        <v>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172</v>
      </c>
      <c r="E28" s="7">
        <v>3000</v>
      </c>
      <c r="F28" s="8">
        <f t="shared" si="0"/>
        <v>516000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5</v>
      </c>
      <c r="E29" s="7">
        <v>20000</v>
      </c>
      <c r="F29" s="8">
        <f t="shared" si="0"/>
        <v>100000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5900</v>
      </c>
      <c r="E30" s="7">
        <v>12</v>
      </c>
      <c r="F30" s="8">
        <f t="shared" si="0"/>
        <v>70800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f>1800+1600+650</f>
        <v>4050</v>
      </c>
      <c r="E31" s="7">
        <v>25</v>
      </c>
      <c r="F31" s="8">
        <f t="shared" si="0"/>
        <v>101250</v>
      </c>
      <c r="H31" s="13"/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1000</v>
      </c>
      <c r="E34" s="7">
        <v>32</v>
      </c>
      <c r="F34" s="8">
        <f t="shared" si="0"/>
        <v>32000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0</v>
      </c>
      <c r="E35" s="7">
        <v>63</v>
      </c>
      <c r="F35" s="8">
        <f t="shared" si="0"/>
        <v>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2879990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28799.9</v>
      </c>
      <c r="F39" s="8">
        <f aca="true" t="shared" si="2" ref="F39:F46">D39*E39</f>
        <v>57599.8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28799.9</v>
      </c>
      <c r="F40" s="8">
        <f t="shared" si="2"/>
        <v>57599.8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28799.9</v>
      </c>
      <c r="F41" s="8">
        <f t="shared" si="2"/>
        <v>71999.75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28799.9</v>
      </c>
      <c r="F42" s="8">
        <f t="shared" si="2"/>
        <v>28799.9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28799.9</v>
      </c>
      <c r="F43" s="8">
        <f t="shared" si="2"/>
        <v>28799.9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28799.9</v>
      </c>
      <c r="F44" s="8">
        <f t="shared" si="2"/>
        <v>28799.9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28799.9</v>
      </c>
      <c r="F45" s="8">
        <f t="shared" si="2"/>
        <v>43199.850000000006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28799.9</v>
      </c>
      <c r="F46" s="9">
        <f t="shared" si="2"/>
        <v>57599.8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3254388.6999999993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32543.88699999999</v>
      </c>
      <c r="F50" s="8">
        <f>D50*E50</f>
        <v>650877.7399999999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32543.88699999999</v>
      </c>
      <c r="F51" s="9">
        <f>D51*E51</f>
        <v>650877.7399999999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4556144.179999999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4556000</v>
      </c>
    </row>
    <row r="57" spans="5:6" ht="12.75">
      <c r="E57" s="13" t="s">
        <v>63</v>
      </c>
      <c r="F57" s="7">
        <f>F53/E10</f>
        <v>27282.300479041907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&amp;L&amp;8h/projects/Ridgely/&amp;F    &amp;A&amp;R&amp;D</oddFoot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11" sqref="E11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22" t="s">
        <v>89</v>
      </c>
      <c r="C10" s="18"/>
      <c r="D10" s="18"/>
      <c r="E10" s="18">
        <v>120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14">
        <f>400+1700+1500+450+400+950+450+400+400+350+550+800+250+200+250+450+400+200+250+250+450+400+250+300+200+350+750+150+250+200+200+700+100+400+500+150+500+250+300+300+500+450+400+250+300+250+900+300+500-1000</f>
        <v>20150</v>
      </c>
      <c r="E14" s="7">
        <v>52</v>
      </c>
      <c r="F14" s="8">
        <f aca="true" t="shared" si="0" ref="F14:F35">D14*E14</f>
        <v>1047800</v>
      </c>
    </row>
    <row r="15" spans="1:6" ht="12.75">
      <c r="A15" s="6">
        <v>2</v>
      </c>
      <c r="B15" s="13" t="s">
        <v>33</v>
      </c>
      <c r="C15" s="14" t="s">
        <v>32</v>
      </c>
      <c r="D15" s="6">
        <v>1000</v>
      </c>
      <c r="E15" s="7">
        <v>65</v>
      </c>
      <c r="F15" s="8">
        <f t="shared" si="0"/>
        <v>65000</v>
      </c>
    </row>
    <row r="16" spans="1:6" ht="12.75">
      <c r="A16" s="6">
        <v>3</v>
      </c>
      <c r="B16" s="13" t="s">
        <v>47</v>
      </c>
      <c r="C16" s="14" t="s">
        <v>32</v>
      </c>
      <c r="D16" s="6">
        <v>0</v>
      </c>
      <c r="E16" s="7">
        <v>100</v>
      </c>
      <c r="F16" s="8">
        <f t="shared" si="0"/>
        <v>0</v>
      </c>
    </row>
    <row r="17" spans="1:6" ht="12.75">
      <c r="A17" s="6">
        <v>4</v>
      </c>
      <c r="B17" s="13" t="s">
        <v>34</v>
      </c>
      <c r="C17" s="14" t="s">
        <v>17</v>
      </c>
      <c r="D17" s="6">
        <v>2</v>
      </c>
      <c r="E17" s="7">
        <v>5000</v>
      </c>
      <c r="F17" s="8">
        <f t="shared" si="0"/>
        <v>10000</v>
      </c>
    </row>
    <row r="18" spans="1:8" ht="12.75">
      <c r="A18" s="6">
        <v>5</v>
      </c>
      <c r="B18" s="13" t="s">
        <v>35</v>
      </c>
      <c r="C18" s="14" t="s">
        <v>17</v>
      </c>
      <c r="D18" s="6">
        <v>0</v>
      </c>
      <c r="E18" s="7">
        <v>75000</v>
      </c>
      <c r="F18" s="8">
        <f t="shared" si="0"/>
        <v>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0</v>
      </c>
      <c r="E19" s="7">
        <v>200000</v>
      </c>
      <c r="F19" s="8">
        <f t="shared" si="0"/>
        <v>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1</v>
      </c>
      <c r="E20" s="7">
        <v>400000</v>
      </c>
      <c r="F20" s="8">
        <f t="shared" si="0"/>
        <v>400000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1</v>
      </c>
      <c r="E21" s="7">
        <v>20000</v>
      </c>
      <c r="F21" s="8">
        <f t="shared" si="0"/>
        <v>20000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D14-1500-450-400-950-450-400-400-350-550-800-250-250-350-300-450-500</f>
        <v>11800</v>
      </c>
      <c r="E22" s="7">
        <v>3.5</v>
      </c>
      <c r="F22" s="8">
        <f t="shared" si="0"/>
        <v>41300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D14+D15+D16-D22</f>
        <v>9350</v>
      </c>
      <c r="E23" s="7">
        <v>1.5</v>
      </c>
      <c r="F23" s="8">
        <f t="shared" si="0"/>
        <v>14025</v>
      </c>
    </row>
    <row r="24" spans="1:8" ht="12.75">
      <c r="A24" s="6">
        <v>11</v>
      </c>
      <c r="B24" s="13" t="s">
        <v>40</v>
      </c>
      <c r="C24" s="14" t="s">
        <v>17</v>
      </c>
      <c r="D24" s="6">
        <v>2</v>
      </c>
      <c r="E24" s="7">
        <v>3500</v>
      </c>
      <c r="F24" s="8">
        <f t="shared" si="0"/>
        <v>7000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65</v>
      </c>
      <c r="E25" s="7">
        <v>1500</v>
      </c>
      <c r="F25" s="8">
        <f t="shared" si="0"/>
        <v>97500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5</v>
      </c>
      <c r="E26" s="7">
        <v>2000</v>
      </c>
      <c r="F26" s="8">
        <f t="shared" si="0"/>
        <v>10000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0</v>
      </c>
      <c r="E27" s="7">
        <v>3000</v>
      </c>
      <c r="F27" s="8">
        <f t="shared" si="0"/>
        <v>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116</v>
      </c>
      <c r="E28" s="7">
        <v>3000</v>
      </c>
      <c r="F28" s="8">
        <f t="shared" si="0"/>
        <v>348000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3</v>
      </c>
      <c r="E29" s="7">
        <v>20000</v>
      </c>
      <c r="F29" s="8">
        <f t="shared" si="0"/>
        <v>60000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9350</v>
      </c>
      <c r="E30" s="7">
        <v>12</v>
      </c>
      <c r="F30" s="8">
        <f t="shared" si="0"/>
        <v>112200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0</v>
      </c>
      <c r="E31" s="7">
        <v>25</v>
      </c>
      <c r="F31" s="8">
        <f t="shared" si="0"/>
        <v>0</v>
      </c>
      <c r="H31" s="13"/>
    </row>
    <row r="32" spans="1:6" ht="12.75">
      <c r="A32" s="6">
        <v>19</v>
      </c>
      <c r="B32" s="13" t="s">
        <v>62</v>
      </c>
      <c r="C32" s="14" t="s">
        <v>32</v>
      </c>
      <c r="D32" s="6">
        <v>200</v>
      </c>
      <c r="E32" s="7">
        <v>30</v>
      </c>
      <c r="F32" s="8">
        <f t="shared" si="0"/>
        <v>6000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1000</v>
      </c>
      <c r="E34" s="7">
        <v>32</v>
      </c>
      <c r="F34" s="8">
        <f t="shared" si="0"/>
        <v>32000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0</v>
      </c>
      <c r="E35" s="7">
        <v>63</v>
      </c>
      <c r="F35" s="8">
        <f t="shared" si="0"/>
        <v>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2270825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22708.25</v>
      </c>
      <c r="F39" s="8">
        <f aca="true" t="shared" si="2" ref="F39:F46">D39*E39</f>
        <v>45416.5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22708.25</v>
      </c>
      <c r="F40" s="8">
        <f t="shared" si="2"/>
        <v>45416.5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22708.25</v>
      </c>
      <c r="F41" s="8">
        <f t="shared" si="2"/>
        <v>56770.625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22708.25</v>
      </c>
      <c r="F42" s="8">
        <f t="shared" si="2"/>
        <v>22708.25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22708.25</v>
      </c>
      <c r="F43" s="8">
        <f t="shared" si="2"/>
        <v>22708.25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22708.25</v>
      </c>
      <c r="F44" s="8">
        <f t="shared" si="2"/>
        <v>22708.25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22708.25</v>
      </c>
      <c r="F45" s="8">
        <f t="shared" si="2"/>
        <v>34062.375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22708.25</v>
      </c>
      <c r="F46" s="9">
        <f t="shared" si="2"/>
        <v>45416.5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2566032.25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25660.322500000002</v>
      </c>
      <c r="F50" s="8">
        <f>D50*E50</f>
        <v>513206.45000000007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25660.322500000002</v>
      </c>
      <c r="F51" s="9">
        <f>D51*E51</f>
        <v>513206.45000000007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3592445.1500000004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3592000</v>
      </c>
    </row>
    <row r="57" spans="5:6" ht="12.75">
      <c r="E57" s="13" t="s">
        <v>63</v>
      </c>
      <c r="F57" s="7">
        <f>F53/E10</f>
        <v>29937.04291666667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&amp;L&amp;8h/projects/Ridgely/&amp;F    &amp;A&amp;R&amp;D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57" sqref="E57:F57"/>
    </sheetView>
  </sheetViews>
  <sheetFormatPr defaultColWidth="9.33203125" defaultRowHeight="12.75"/>
  <cols>
    <col min="1" max="1" width="10.66015625" style="6" customWidth="1"/>
    <col min="2" max="2" width="48.8320312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18" t="s">
        <v>65</v>
      </c>
      <c r="C10" s="18"/>
      <c r="D10" s="18"/>
      <c r="E10" s="18">
        <v>59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6">
        <f>150+600+900+600+820+800+950+150+450+200+550+500</f>
        <v>6670</v>
      </c>
      <c r="E14" s="7">
        <v>52</v>
      </c>
      <c r="F14" s="8">
        <f>D14*E14</f>
        <v>346840</v>
      </c>
    </row>
    <row r="15" spans="1:6" ht="12.75">
      <c r="A15" s="6">
        <v>2</v>
      </c>
      <c r="B15" s="13" t="s">
        <v>33</v>
      </c>
      <c r="C15" s="14" t="s">
        <v>32</v>
      </c>
      <c r="D15" s="6">
        <v>0</v>
      </c>
      <c r="E15" s="7">
        <v>65</v>
      </c>
      <c r="F15" s="8">
        <f aca="true" t="shared" si="0" ref="F15:F35">D15*E15</f>
        <v>0</v>
      </c>
    </row>
    <row r="16" spans="1:6" ht="12.75">
      <c r="A16" s="6">
        <v>3</v>
      </c>
      <c r="B16" s="13" t="s">
        <v>47</v>
      </c>
      <c r="C16" s="14" t="s">
        <v>32</v>
      </c>
      <c r="D16" s="6">
        <v>0</v>
      </c>
      <c r="E16" s="7">
        <v>100</v>
      </c>
      <c r="F16" s="8">
        <f t="shared" si="0"/>
        <v>0</v>
      </c>
    </row>
    <row r="17" spans="1:6" ht="12.75">
      <c r="A17" s="6">
        <v>4</v>
      </c>
      <c r="B17" s="13" t="s">
        <v>34</v>
      </c>
      <c r="C17" s="14" t="s">
        <v>17</v>
      </c>
      <c r="D17" s="6">
        <v>0</v>
      </c>
      <c r="E17" s="7">
        <v>5000</v>
      </c>
      <c r="F17" s="8">
        <f t="shared" si="0"/>
        <v>0</v>
      </c>
    </row>
    <row r="18" spans="1:8" ht="12.75">
      <c r="A18" s="6">
        <v>5</v>
      </c>
      <c r="B18" s="13" t="s">
        <v>35</v>
      </c>
      <c r="C18" s="14" t="s">
        <v>17</v>
      </c>
      <c r="D18" s="6">
        <v>0</v>
      </c>
      <c r="E18" s="7">
        <v>75000</v>
      </c>
      <c r="F18" s="8">
        <f t="shared" si="0"/>
        <v>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0</v>
      </c>
      <c r="E19" s="7">
        <v>200000</v>
      </c>
      <c r="F19" s="8">
        <f t="shared" si="0"/>
        <v>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0</v>
      </c>
      <c r="E21" s="7">
        <v>20000</v>
      </c>
      <c r="F21" s="8">
        <f t="shared" si="0"/>
        <v>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150+820+800+950+150</f>
        <v>2870</v>
      </c>
      <c r="E22" s="7">
        <v>3.5</v>
      </c>
      <c r="F22" s="8">
        <f t="shared" si="0"/>
        <v>10045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600+900+600+450+200+550+500</f>
        <v>3800</v>
      </c>
      <c r="E23" s="7">
        <v>1.5</v>
      </c>
      <c r="F23" s="8">
        <f t="shared" si="0"/>
        <v>5700</v>
      </c>
    </row>
    <row r="24" spans="1:8" ht="12.75">
      <c r="A24" s="6">
        <v>11</v>
      </c>
      <c r="B24" s="13" t="s">
        <v>40</v>
      </c>
      <c r="C24" s="14" t="s">
        <v>17</v>
      </c>
      <c r="D24" s="6">
        <v>0</v>
      </c>
      <c r="E24" s="7">
        <v>3500</v>
      </c>
      <c r="F24" s="8">
        <f t="shared" si="0"/>
        <v>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28</v>
      </c>
      <c r="E25" s="7">
        <v>1500</v>
      </c>
      <c r="F25" s="8">
        <f t="shared" si="0"/>
        <v>42000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0</v>
      </c>
      <c r="E26" s="7">
        <v>2000</v>
      </c>
      <c r="F26" s="8">
        <f t="shared" si="0"/>
        <v>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0</v>
      </c>
      <c r="E27" s="7">
        <v>3000</v>
      </c>
      <c r="F27" s="8">
        <f t="shared" si="0"/>
        <v>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59</v>
      </c>
      <c r="E28" s="7">
        <v>3000</v>
      </c>
      <c r="F28" s="8">
        <f t="shared" si="0"/>
        <v>177000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3</v>
      </c>
      <c r="E29" s="7">
        <v>20000</v>
      </c>
      <c r="F29" s="8">
        <f t="shared" si="0"/>
        <v>60000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f>600+900+600+450+200+550+500</f>
        <v>3800</v>
      </c>
      <c r="E30" s="7">
        <v>12</v>
      </c>
      <c r="F30" s="8">
        <f t="shared" si="0"/>
        <v>45600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0</v>
      </c>
      <c r="E31" s="7">
        <v>25</v>
      </c>
      <c r="F31" s="8">
        <f t="shared" si="0"/>
        <v>0</v>
      </c>
      <c r="H31" s="13"/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0</v>
      </c>
      <c r="E34" s="7">
        <v>32</v>
      </c>
      <c r="F34" s="8">
        <f t="shared" si="0"/>
        <v>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0</v>
      </c>
      <c r="E35" s="7">
        <v>63</v>
      </c>
      <c r="F35" s="8">
        <f t="shared" si="0"/>
        <v>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687185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6871.85</v>
      </c>
      <c r="F39" s="8">
        <f aca="true" t="shared" si="2" ref="F39:F46">D39*E39</f>
        <v>13743.7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6871.85</v>
      </c>
      <c r="F40" s="8">
        <f t="shared" si="2"/>
        <v>13743.7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6871.85</v>
      </c>
      <c r="F41" s="8">
        <f t="shared" si="2"/>
        <v>17179.625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6871.85</v>
      </c>
      <c r="F42" s="8">
        <f t="shared" si="2"/>
        <v>6871.85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6871.85</v>
      </c>
      <c r="F43" s="8">
        <f t="shared" si="2"/>
        <v>6871.85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6871.85</v>
      </c>
      <c r="F44" s="8">
        <f t="shared" si="2"/>
        <v>6871.85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6871.85</v>
      </c>
      <c r="F45" s="8">
        <f t="shared" si="2"/>
        <v>10307.775000000001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6871.85</v>
      </c>
      <c r="F46" s="9">
        <f t="shared" si="2"/>
        <v>13743.7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776519.0499999998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7765.190499999998</v>
      </c>
      <c r="F50" s="8">
        <f>D50*E50</f>
        <v>155303.80999999997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7765.190499999998</v>
      </c>
      <c r="F51" s="9">
        <f>D51*E51</f>
        <v>155303.80999999997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1087126.6699999997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1087000</v>
      </c>
    </row>
    <row r="57" spans="5:6" ht="12.75">
      <c r="E57" s="13" t="s">
        <v>63</v>
      </c>
      <c r="F57" s="7">
        <f>F53/E10</f>
        <v>18425.875762711858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1" r:id="rId1"/>
  <headerFooter alignWithMargins="0">
    <oddFooter>&amp;L&amp;8h/projects/Ridgely/&amp;F  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11" sqref="E11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18" t="s">
        <v>69</v>
      </c>
      <c r="C10" s="18"/>
      <c r="D10" s="18"/>
      <c r="E10" s="18">
        <v>52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6">
        <f>1300+1200-500+1850+200+1250</f>
        <v>5300</v>
      </c>
      <c r="E14" s="7">
        <v>52</v>
      </c>
      <c r="F14" s="8">
        <f aca="true" t="shared" si="0" ref="F14:F35">D14*E14</f>
        <v>275600</v>
      </c>
    </row>
    <row r="15" spans="1:6" ht="12.75">
      <c r="A15" s="6">
        <v>2</v>
      </c>
      <c r="B15" s="13" t="s">
        <v>33</v>
      </c>
      <c r="C15" s="14" t="s">
        <v>32</v>
      </c>
      <c r="D15" s="6">
        <v>0</v>
      </c>
      <c r="E15" s="7">
        <v>65</v>
      </c>
      <c r="F15" s="8">
        <f t="shared" si="0"/>
        <v>0</v>
      </c>
    </row>
    <row r="16" spans="1:6" ht="12.75">
      <c r="A16" s="6">
        <v>3</v>
      </c>
      <c r="B16" s="13" t="s">
        <v>47</v>
      </c>
      <c r="C16" s="14" t="s">
        <v>32</v>
      </c>
      <c r="D16" s="6">
        <v>500</v>
      </c>
      <c r="E16" s="7">
        <v>100</v>
      </c>
      <c r="F16" s="8">
        <f t="shared" si="0"/>
        <v>50000</v>
      </c>
    </row>
    <row r="17" spans="1:6" ht="12.75">
      <c r="A17" s="6">
        <v>4</v>
      </c>
      <c r="B17" s="13" t="s">
        <v>34</v>
      </c>
      <c r="C17" s="14" t="s">
        <v>17</v>
      </c>
      <c r="D17" s="6">
        <v>0</v>
      </c>
      <c r="E17" s="7">
        <v>5000</v>
      </c>
      <c r="F17" s="8">
        <f t="shared" si="0"/>
        <v>0</v>
      </c>
    </row>
    <row r="18" spans="1:8" ht="12.75">
      <c r="A18" s="6">
        <v>5</v>
      </c>
      <c r="B18" s="13" t="s">
        <v>35</v>
      </c>
      <c r="C18" s="14" t="s">
        <v>17</v>
      </c>
      <c r="D18" s="6">
        <v>2</v>
      </c>
      <c r="E18" s="7">
        <v>75000</v>
      </c>
      <c r="F18" s="8">
        <f t="shared" si="0"/>
        <v>150000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0</v>
      </c>
      <c r="E19" s="7">
        <v>200000</v>
      </c>
      <c r="F19" s="8">
        <f t="shared" si="0"/>
        <v>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0</v>
      </c>
      <c r="E21" s="7">
        <v>20000</v>
      </c>
      <c r="F21" s="8">
        <f t="shared" si="0"/>
        <v>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1300+1200+1850</f>
        <v>4350</v>
      </c>
      <c r="E22" s="7">
        <v>3.5</v>
      </c>
      <c r="F22" s="8">
        <f t="shared" si="0"/>
        <v>15225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200+1250</f>
        <v>1450</v>
      </c>
      <c r="E23" s="7">
        <v>1.5</v>
      </c>
      <c r="F23" s="8">
        <f t="shared" si="0"/>
        <v>2175</v>
      </c>
    </row>
    <row r="24" spans="1:8" ht="12.75">
      <c r="A24" s="6">
        <v>11</v>
      </c>
      <c r="B24" s="13" t="s">
        <v>40</v>
      </c>
      <c r="C24" s="14" t="s">
        <v>17</v>
      </c>
      <c r="D24" s="6">
        <v>5</v>
      </c>
      <c r="E24" s="7">
        <v>3500</v>
      </c>
      <c r="F24" s="8">
        <f t="shared" si="0"/>
        <v>17500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22</v>
      </c>
      <c r="E25" s="7">
        <v>1500</v>
      </c>
      <c r="F25" s="8">
        <f t="shared" si="0"/>
        <v>33000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0</v>
      </c>
      <c r="E26" s="7">
        <v>2000</v>
      </c>
      <c r="F26" s="8">
        <f t="shared" si="0"/>
        <v>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2</v>
      </c>
      <c r="E27" s="7">
        <v>3000</v>
      </c>
      <c r="F27" s="8">
        <f t="shared" si="0"/>
        <v>6000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51</v>
      </c>
      <c r="E28" s="7">
        <v>3000</v>
      </c>
      <c r="F28" s="8">
        <f t="shared" si="0"/>
        <v>153000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1</v>
      </c>
      <c r="E29" s="7">
        <v>20000</v>
      </c>
      <c r="F29" s="8">
        <f t="shared" si="0"/>
        <v>20000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1450</v>
      </c>
      <c r="E30" s="7">
        <v>12</v>
      </c>
      <c r="F30" s="8">
        <f t="shared" si="0"/>
        <v>17400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2500</v>
      </c>
      <c r="E31" s="7">
        <v>25</v>
      </c>
      <c r="F31" s="8">
        <f t="shared" si="0"/>
        <v>62500</v>
      </c>
      <c r="H31" s="13"/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0</v>
      </c>
      <c r="E34" s="7">
        <v>32</v>
      </c>
      <c r="F34" s="8">
        <f t="shared" si="0"/>
        <v>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500</v>
      </c>
      <c r="E35" s="7">
        <v>63</v>
      </c>
      <c r="F35" s="8">
        <f t="shared" si="0"/>
        <v>31500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833900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8339</v>
      </c>
      <c r="F39" s="8">
        <f aca="true" t="shared" si="2" ref="F39:F46">D39*E39</f>
        <v>16678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8339</v>
      </c>
      <c r="F40" s="8">
        <f t="shared" si="2"/>
        <v>16678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8339</v>
      </c>
      <c r="F41" s="8">
        <f t="shared" si="2"/>
        <v>20847.5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8339</v>
      </c>
      <c r="F42" s="8">
        <f t="shared" si="2"/>
        <v>8339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8339</v>
      </c>
      <c r="F43" s="8">
        <f t="shared" si="2"/>
        <v>8339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8339</v>
      </c>
      <c r="F44" s="8">
        <f t="shared" si="2"/>
        <v>8339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8339</v>
      </c>
      <c r="F45" s="8">
        <f t="shared" si="2"/>
        <v>12508.5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8339</v>
      </c>
      <c r="F46" s="9">
        <f t="shared" si="2"/>
        <v>16678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942307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9423.07</v>
      </c>
      <c r="F50" s="8">
        <f>D50*E50</f>
        <v>188461.4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9423.07</v>
      </c>
      <c r="F51" s="9">
        <f>D51*E51</f>
        <v>188461.4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1319229.7999999998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1319000</v>
      </c>
    </row>
    <row r="57" spans="5:6" ht="12.75">
      <c r="E57" s="13" t="s">
        <v>63</v>
      </c>
      <c r="F57" s="7">
        <f>F53/E10</f>
        <v>25369.80384615384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1" r:id="rId1"/>
  <headerFooter alignWithMargins="0">
    <oddFooter>&amp;L&amp;8h/projects/Ridgely/&amp;F   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11" sqref="E11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22" t="s">
        <v>70</v>
      </c>
      <c r="C10" s="18"/>
      <c r="D10" s="18"/>
      <c r="E10" s="18">
        <v>222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14">
        <f>2050-400+1150+1700+1350+450+800+700+800-800+800+500+400+1200+900+450+1700+250+600+900+800+500+200+1400+1100+600+1050+1600</f>
        <v>22750</v>
      </c>
      <c r="E14" s="7">
        <v>52</v>
      </c>
      <c r="F14" s="8">
        <f aca="true" t="shared" si="0" ref="F14:F35">D14*E14</f>
        <v>1183000</v>
      </c>
    </row>
    <row r="15" spans="1:6" ht="12.75">
      <c r="A15" s="6">
        <v>2</v>
      </c>
      <c r="B15" s="13" t="s">
        <v>33</v>
      </c>
      <c r="C15" s="14" t="s">
        <v>32</v>
      </c>
      <c r="D15" s="6">
        <v>400</v>
      </c>
      <c r="E15" s="7">
        <v>65</v>
      </c>
      <c r="F15" s="8">
        <f t="shared" si="0"/>
        <v>26000</v>
      </c>
    </row>
    <row r="16" spans="1:6" ht="12.75">
      <c r="A16" s="6">
        <v>3</v>
      </c>
      <c r="B16" s="13" t="s">
        <v>47</v>
      </c>
      <c r="C16" s="14" t="s">
        <v>32</v>
      </c>
      <c r="D16" s="6">
        <v>800</v>
      </c>
      <c r="E16" s="7">
        <v>100</v>
      </c>
      <c r="F16" s="8">
        <f t="shared" si="0"/>
        <v>80000</v>
      </c>
    </row>
    <row r="17" spans="1:6" ht="12.75">
      <c r="A17" s="6">
        <v>4</v>
      </c>
      <c r="B17" s="13" t="s">
        <v>34</v>
      </c>
      <c r="C17" s="14" t="s">
        <v>17</v>
      </c>
      <c r="D17" s="6">
        <v>2</v>
      </c>
      <c r="E17" s="7">
        <v>5000</v>
      </c>
      <c r="F17" s="8">
        <f t="shared" si="0"/>
        <v>10000</v>
      </c>
    </row>
    <row r="18" spans="1:8" ht="12.75">
      <c r="A18" s="6">
        <v>5</v>
      </c>
      <c r="B18" s="13" t="s">
        <v>35</v>
      </c>
      <c r="C18" s="14" t="s">
        <v>17</v>
      </c>
      <c r="D18" s="6">
        <v>0</v>
      </c>
      <c r="E18" s="7">
        <v>75000</v>
      </c>
      <c r="F18" s="8">
        <f t="shared" si="0"/>
        <v>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0</v>
      </c>
      <c r="E19" s="7">
        <v>200000</v>
      </c>
      <c r="F19" s="8">
        <f t="shared" si="0"/>
        <v>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1</v>
      </c>
      <c r="E20" s="7">
        <v>400000</v>
      </c>
      <c r="F20" s="8">
        <f t="shared" si="0"/>
        <v>400000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1</v>
      </c>
      <c r="E21" s="7">
        <v>20000</v>
      </c>
      <c r="F21" s="8">
        <f t="shared" si="0"/>
        <v>20000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D14-1150-450-400-1200-900-600-200-1400-1100-600-700</f>
        <v>14050</v>
      </c>
      <c r="E22" s="7">
        <v>3.5</v>
      </c>
      <c r="F22" s="8">
        <f t="shared" si="0"/>
        <v>49175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D14+D15+D16-D22</f>
        <v>9900</v>
      </c>
      <c r="E23" s="7">
        <v>1.5</v>
      </c>
      <c r="F23" s="8">
        <f t="shared" si="0"/>
        <v>14850</v>
      </c>
    </row>
    <row r="24" spans="1:8" ht="12.75">
      <c r="A24" s="6">
        <v>11</v>
      </c>
      <c r="B24" s="13" t="s">
        <v>40</v>
      </c>
      <c r="C24" s="14" t="s">
        <v>17</v>
      </c>
      <c r="D24" s="6">
        <v>7</v>
      </c>
      <c r="E24" s="7">
        <v>3500</v>
      </c>
      <c r="F24" s="8">
        <f t="shared" si="0"/>
        <v>24500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79</v>
      </c>
      <c r="E25" s="7">
        <v>1500</v>
      </c>
      <c r="F25" s="8">
        <f t="shared" si="0"/>
        <v>118500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2</v>
      </c>
      <c r="E26" s="7">
        <v>2000</v>
      </c>
      <c r="F26" s="8">
        <f t="shared" si="0"/>
        <v>4000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4</v>
      </c>
      <c r="E27" s="7">
        <v>3000</v>
      </c>
      <c r="F27" s="8">
        <f t="shared" si="0"/>
        <v>12000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51</v>
      </c>
      <c r="E28" s="7">
        <v>3000</v>
      </c>
      <c r="F28" s="8">
        <f t="shared" si="0"/>
        <v>153000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4</v>
      </c>
      <c r="E29" s="7">
        <v>20000</v>
      </c>
      <c r="F29" s="8">
        <f t="shared" si="0"/>
        <v>80000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9900</v>
      </c>
      <c r="E30" s="7">
        <v>12</v>
      </c>
      <c r="F30" s="8">
        <f t="shared" si="0"/>
        <v>118800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0</v>
      </c>
      <c r="E31" s="7">
        <v>25</v>
      </c>
      <c r="F31" s="8">
        <f t="shared" si="0"/>
        <v>0</v>
      </c>
      <c r="H31" s="13" t="s">
        <v>71</v>
      </c>
    </row>
    <row r="32" spans="1:6" ht="12.75">
      <c r="A32" s="6">
        <v>19</v>
      </c>
      <c r="B32" s="13" t="s">
        <v>62</v>
      </c>
      <c r="C32" s="14" t="s">
        <v>32</v>
      </c>
      <c r="D32" s="6">
        <v>3300</v>
      </c>
      <c r="E32" s="7">
        <v>30</v>
      </c>
      <c r="F32" s="8">
        <f t="shared" si="0"/>
        <v>99000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400</v>
      </c>
      <c r="E34" s="7">
        <v>32</v>
      </c>
      <c r="F34" s="8">
        <f t="shared" si="0"/>
        <v>12800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800</v>
      </c>
      <c r="E35" s="7">
        <v>63</v>
      </c>
      <c r="F35" s="8">
        <f t="shared" si="0"/>
        <v>50400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2456025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24560.25</v>
      </c>
      <c r="F39" s="8">
        <f aca="true" t="shared" si="2" ref="F39:F46">D39*E39</f>
        <v>49120.5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24560.25</v>
      </c>
      <c r="F40" s="8">
        <f t="shared" si="2"/>
        <v>49120.5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24560.25</v>
      </c>
      <c r="F41" s="8">
        <f t="shared" si="2"/>
        <v>61400.625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24560.25</v>
      </c>
      <c r="F42" s="8">
        <f t="shared" si="2"/>
        <v>24560.25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24560.25</v>
      </c>
      <c r="F43" s="8">
        <f t="shared" si="2"/>
        <v>24560.25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24560.25</v>
      </c>
      <c r="F44" s="8">
        <f t="shared" si="2"/>
        <v>24560.25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24560.25</v>
      </c>
      <c r="F45" s="8">
        <f t="shared" si="2"/>
        <v>36840.375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24560.25</v>
      </c>
      <c r="F46" s="9">
        <f t="shared" si="2"/>
        <v>49120.5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2775308.25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27753.0825</v>
      </c>
      <c r="F50" s="8">
        <f>D50*E50</f>
        <v>555061.65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27753.0825</v>
      </c>
      <c r="F51" s="9">
        <f>D51*E51</f>
        <v>555061.65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3885431.55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3885000</v>
      </c>
    </row>
    <row r="57" spans="5:6" ht="12.75">
      <c r="E57" s="13" t="s">
        <v>63</v>
      </c>
      <c r="F57" s="7">
        <f>F53/E10</f>
        <v>17501.943918918918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&amp;L&amp;8h/projects/Ridgely/&amp;F    &amp;A&amp;R&amp;D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7">
      <selection activeCell="E11" sqref="E11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22" t="s">
        <v>72</v>
      </c>
      <c r="C10" s="18"/>
      <c r="D10" s="18"/>
      <c r="E10" s="18">
        <v>63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14">
        <f>1950+700+550+600+400+1350</f>
        <v>5550</v>
      </c>
      <c r="E14" s="7">
        <v>52</v>
      </c>
      <c r="F14" s="8">
        <f aca="true" t="shared" si="0" ref="F14:F35">D14*E14</f>
        <v>288600</v>
      </c>
    </row>
    <row r="15" spans="1:6" ht="12.75">
      <c r="A15" s="6">
        <v>2</v>
      </c>
      <c r="B15" s="13" t="s">
        <v>33</v>
      </c>
      <c r="C15" s="14" t="s">
        <v>32</v>
      </c>
      <c r="D15" s="6">
        <v>0</v>
      </c>
      <c r="E15" s="7">
        <v>65</v>
      </c>
      <c r="F15" s="8">
        <f t="shared" si="0"/>
        <v>0</v>
      </c>
    </row>
    <row r="16" spans="1:6" ht="12.75">
      <c r="A16" s="6">
        <v>3</v>
      </c>
      <c r="B16" s="13" t="s">
        <v>47</v>
      </c>
      <c r="C16" s="14" t="s">
        <v>32</v>
      </c>
      <c r="D16" s="6">
        <v>0</v>
      </c>
      <c r="E16" s="7">
        <v>100</v>
      </c>
      <c r="F16" s="8">
        <f t="shared" si="0"/>
        <v>0</v>
      </c>
    </row>
    <row r="17" spans="1:6" ht="12.75">
      <c r="A17" s="6">
        <v>4</v>
      </c>
      <c r="B17" s="13" t="s">
        <v>34</v>
      </c>
      <c r="C17" s="14" t="s">
        <v>17</v>
      </c>
      <c r="D17" s="6">
        <v>1</v>
      </c>
      <c r="E17" s="7">
        <v>5000</v>
      </c>
      <c r="F17" s="8">
        <f t="shared" si="0"/>
        <v>5000</v>
      </c>
    </row>
    <row r="18" spans="1:8" ht="12.75">
      <c r="A18" s="6">
        <v>5</v>
      </c>
      <c r="B18" s="13" t="s">
        <v>35</v>
      </c>
      <c r="C18" s="14" t="s">
        <v>17</v>
      </c>
      <c r="D18" s="6">
        <v>0</v>
      </c>
      <c r="E18" s="7">
        <v>75000</v>
      </c>
      <c r="F18" s="8">
        <f t="shared" si="0"/>
        <v>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1</v>
      </c>
      <c r="E19" s="7">
        <v>200000</v>
      </c>
      <c r="F19" s="8">
        <f t="shared" si="0"/>
        <v>200000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1</v>
      </c>
      <c r="E21" s="7">
        <v>20000</v>
      </c>
      <c r="F21" s="8">
        <f t="shared" si="0"/>
        <v>20000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v>5550</v>
      </c>
      <c r="E22" s="7">
        <v>3.5</v>
      </c>
      <c r="F22" s="8">
        <f t="shared" si="0"/>
        <v>19425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D14+D15+D16-D22</f>
        <v>0</v>
      </c>
      <c r="E23" s="7">
        <v>1.5</v>
      </c>
      <c r="F23" s="8">
        <f t="shared" si="0"/>
        <v>0</v>
      </c>
    </row>
    <row r="24" spans="1:8" ht="12.75">
      <c r="A24" s="6">
        <v>11</v>
      </c>
      <c r="B24" s="13" t="s">
        <v>40</v>
      </c>
      <c r="C24" s="14" t="s">
        <v>17</v>
      </c>
      <c r="D24" s="6">
        <v>0</v>
      </c>
      <c r="E24" s="7">
        <v>3500</v>
      </c>
      <c r="F24" s="8">
        <f t="shared" si="0"/>
        <v>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17</v>
      </c>
      <c r="E25" s="7">
        <v>1500</v>
      </c>
      <c r="F25" s="8">
        <f t="shared" si="0"/>
        <v>25500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0</v>
      </c>
      <c r="E26" s="7">
        <v>2000</v>
      </c>
      <c r="F26" s="8">
        <f t="shared" si="0"/>
        <v>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0</v>
      </c>
      <c r="E27" s="7">
        <v>3000</v>
      </c>
      <c r="F27" s="8">
        <f t="shared" si="0"/>
        <v>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61</v>
      </c>
      <c r="E28" s="7">
        <v>3000</v>
      </c>
      <c r="F28" s="8">
        <f t="shared" si="0"/>
        <v>183000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1</v>
      </c>
      <c r="E29" s="7">
        <v>20000</v>
      </c>
      <c r="F29" s="8">
        <f t="shared" si="0"/>
        <v>20000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0</v>
      </c>
      <c r="E30" s="7">
        <v>12</v>
      </c>
      <c r="F30" s="8">
        <f t="shared" si="0"/>
        <v>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f>1500+1700</f>
        <v>3200</v>
      </c>
      <c r="E31" s="7">
        <v>25</v>
      </c>
      <c r="F31" s="8">
        <f t="shared" si="0"/>
        <v>80000</v>
      </c>
      <c r="H31" s="13" t="s">
        <v>73</v>
      </c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0</v>
      </c>
      <c r="E34" s="7">
        <v>32</v>
      </c>
      <c r="F34" s="8">
        <f t="shared" si="0"/>
        <v>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0</v>
      </c>
      <c r="E35" s="7">
        <v>63</v>
      </c>
      <c r="F35" s="8">
        <f t="shared" si="0"/>
        <v>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841525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8415.25</v>
      </c>
      <c r="F39" s="8">
        <f aca="true" t="shared" si="2" ref="F39:F46">D39*E39</f>
        <v>16830.5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8415.25</v>
      </c>
      <c r="F40" s="8">
        <f t="shared" si="2"/>
        <v>16830.5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8415.25</v>
      </c>
      <c r="F41" s="8">
        <f t="shared" si="2"/>
        <v>21038.125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8415.25</v>
      </c>
      <c r="F42" s="8">
        <f t="shared" si="2"/>
        <v>8415.25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8415.25</v>
      </c>
      <c r="F43" s="8">
        <f t="shared" si="2"/>
        <v>8415.25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8415.25</v>
      </c>
      <c r="F44" s="8">
        <f t="shared" si="2"/>
        <v>8415.25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8415.25</v>
      </c>
      <c r="F45" s="8">
        <f t="shared" si="2"/>
        <v>12622.875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8415.25</v>
      </c>
      <c r="F46" s="9">
        <f t="shared" si="2"/>
        <v>16830.5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950923.25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9509.2325</v>
      </c>
      <c r="F50" s="8">
        <f>D50*E50</f>
        <v>190184.65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9509.2325</v>
      </c>
      <c r="F51" s="9">
        <f>D51*E51</f>
        <v>190184.65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1331292.5499999998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1331000</v>
      </c>
    </row>
    <row r="57" spans="5:6" ht="12.75">
      <c r="E57" s="13" t="s">
        <v>63</v>
      </c>
      <c r="F57" s="7">
        <f>F53/E10</f>
        <v>21131.627777777776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&amp;L&amp;8h/projects/Ridgely/&amp;F    &amp;A&amp;R&amp;D</oddFoot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11" sqref="E11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22" t="s">
        <v>74</v>
      </c>
      <c r="C10" s="18"/>
      <c r="D10" s="18"/>
      <c r="E10" s="18">
        <v>54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14">
        <f>50+400+350+600+50+650+500+350+400+800+500+300+300+250</f>
        <v>5500</v>
      </c>
      <c r="E14" s="7">
        <v>52</v>
      </c>
      <c r="F14" s="8">
        <f aca="true" t="shared" si="0" ref="F14:F35">D14*E14</f>
        <v>286000</v>
      </c>
    </row>
    <row r="15" spans="1:6" ht="12.75">
      <c r="A15" s="6">
        <v>2</v>
      </c>
      <c r="B15" s="13" t="s">
        <v>33</v>
      </c>
      <c r="C15" s="14" t="s">
        <v>32</v>
      </c>
      <c r="D15" s="6">
        <v>0</v>
      </c>
      <c r="E15" s="7">
        <v>65</v>
      </c>
      <c r="F15" s="8">
        <f t="shared" si="0"/>
        <v>0</v>
      </c>
    </row>
    <row r="16" spans="1:6" ht="12.75">
      <c r="A16" s="6">
        <v>3</v>
      </c>
      <c r="B16" s="13" t="s">
        <v>47</v>
      </c>
      <c r="C16" s="14" t="s">
        <v>32</v>
      </c>
      <c r="D16" s="6">
        <v>0</v>
      </c>
      <c r="E16" s="7">
        <v>100</v>
      </c>
      <c r="F16" s="8">
        <f t="shared" si="0"/>
        <v>0</v>
      </c>
    </row>
    <row r="17" spans="1:6" ht="12.75">
      <c r="A17" s="6">
        <v>4</v>
      </c>
      <c r="B17" s="13" t="s">
        <v>34</v>
      </c>
      <c r="C17" s="14" t="s">
        <v>17</v>
      </c>
      <c r="D17" s="6">
        <v>1</v>
      </c>
      <c r="E17" s="7">
        <v>5000</v>
      </c>
      <c r="F17" s="8">
        <f t="shared" si="0"/>
        <v>5000</v>
      </c>
    </row>
    <row r="18" spans="1:8" ht="12.75">
      <c r="A18" s="6">
        <v>5</v>
      </c>
      <c r="B18" s="13" t="s">
        <v>35</v>
      </c>
      <c r="C18" s="14" t="s">
        <v>17</v>
      </c>
      <c r="D18" s="6">
        <v>0</v>
      </c>
      <c r="E18" s="7">
        <v>75000</v>
      </c>
      <c r="F18" s="8">
        <f t="shared" si="0"/>
        <v>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1</v>
      </c>
      <c r="E19" s="7">
        <v>200000</v>
      </c>
      <c r="F19" s="8">
        <f t="shared" si="0"/>
        <v>200000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1</v>
      </c>
      <c r="E21" s="7">
        <v>20000</v>
      </c>
      <c r="F21" s="8">
        <f t="shared" si="0"/>
        <v>20000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5500-600</f>
        <v>4900</v>
      </c>
      <c r="E22" s="7">
        <v>3.5</v>
      </c>
      <c r="F22" s="8">
        <f t="shared" si="0"/>
        <v>17150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D14+D15+D16-D22</f>
        <v>600</v>
      </c>
      <c r="E23" s="7">
        <v>1.5</v>
      </c>
      <c r="F23" s="8">
        <f t="shared" si="0"/>
        <v>900</v>
      </c>
    </row>
    <row r="24" spans="1:8" ht="12.75">
      <c r="A24" s="6">
        <v>11</v>
      </c>
      <c r="B24" s="13" t="s">
        <v>40</v>
      </c>
      <c r="C24" s="14" t="s">
        <v>17</v>
      </c>
      <c r="D24" s="6">
        <v>0</v>
      </c>
      <c r="E24" s="7">
        <v>3500</v>
      </c>
      <c r="F24" s="8">
        <f t="shared" si="0"/>
        <v>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22</v>
      </c>
      <c r="E25" s="7">
        <v>1500</v>
      </c>
      <c r="F25" s="8">
        <f t="shared" si="0"/>
        <v>33000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0</v>
      </c>
      <c r="E26" s="7">
        <v>2000</v>
      </c>
      <c r="F26" s="8">
        <f t="shared" si="0"/>
        <v>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0</v>
      </c>
      <c r="E27" s="7">
        <v>3000</v>
      </c>
      <c r="F27" s="8">
        <f t="shared" si="0"/>
        <v>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55</v>
      </c>
      <c r="E28" s="7">
        <v>3000</v>
      </c>
      <c r="F28" s="8">
        <f t="shared" si="0"/>
        <v>165000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0</v>
      </c>
      <c r="E29" s="7">
        <v>20000</v>
      </c>
      <c r="F29" s="8">
        <f t="shared" si="0"/>
        <v>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600</v>
      </c>
      <c r="E30" s="7">
        <v>12</v>
      </c>
      <c r="F30" s="8">
        <f t="shared" si="0"/>
        <v>7200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2000</v>
      </c>
      <c r="E31" s="7">
        <v>25</v>
      </c>
      <c r="F31" s="8">
        <f t="shared" si="0"/>
        <v>50000</v>
      </c>
      <c r="H31" s="13" t="s">
        <v>75</v>
      </c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0</v>
      </c>
      <c r="E34" s="7">
        <v>32</v>
      </c>
      <c r="F34" s="8">
        <f t="shared" si="0"/>
        <v>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0</v>
      </c>
      <c r="E35" s="7">
        <v>63</v>
      </c>
      <c r="F35" s="8">
        <f t="shared" si="0"/>
        <v>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784250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7842.5</v>
      </c>
      <c r="F39" s="8">
        <f aca="true" t="shared" si="2" ref="F39:F46">D39*E39</f>
        <v>15685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7842.5</v>
      </c>
      <c r="F40" s="8">
        <f t="shared" si="2"/>
        <v>15685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7842.5</v>
      </c>
      <c r="F41" s="8">
        <f t="shared" si="2"/>
        <v>19606.25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7842.5</v>
      </c>
      <c r="F42" s="8">
        <f t="shared" si="2"/>
        <v>7842.5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7842.5</v>
      </c>
      <c r="F43" s="8">
        <f t="shared" si="2"/>
        <v>7842.5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7842.5</v>
      </c>
      <c r="F44" s="8">
        <f t="shared" si="2"/>
        <v>7842.5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7842.5</v>
      </c>
      <c r="F45" s="8">
        <f t="shared" si="2"/>
        <v>11763.75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7842.5</v>
      </c>
      <c r="F46" s="9">
        <f t="shared" si="2"/>
        <v>15685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886202.5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8862.025</v>
      </c>
      <c r="F50" s="8">
        <f>D50*E50</f>
        <v>177240.5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8862.025</v>
      </c>
      <c r="F51" s="9">
        <f>D51*E51</f>
        <v>177240.5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1240683.5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1241000</v>
      </c>
    </row>
    <row r="57" spans="5:6" ht="12.75">
      <c r="E57" s="13" t="s">
        <v>63</v>
      </c>
      <c r="F57" s="7">
        <f>F53/E10</f>
        <v>22975.62037037037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&amp;L&amp;8h/projects/Ridgely/&amp;F    &amp;A&amp;R&amp;D</oddFoot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11" sqref="E11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22" t="s">
        <v>76</v>
      </c>
      <c r="C10" s="18"/>
      <c r="D10" s="18"/>
      <c r="E10" s="18">
        <v>11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14">
        <f>800+300</f>
        <v>1100</v>
      </c>
      <c r="E14" s="7">
        <v>52</v>
      </c>
      <c r="F14" s="8">
        <f aca="true" t="shared" si="0" ref="F14:F35">D14*E14</f>
        <v>57200</v>
      </c>
    </row>
    <row r="15" spans="1:6" ht="12.75">
      <c r="A15" s="6">
        <v>2</v>
      </c>
      <c r="B15" s="13" t="s">
        <v>33</v>
      </c>
      <c r="C15" s="14" t="s">
        <v>32</v>
      </c>
      <c r="D15" s="6">
        <v>0</v>
      </c>
      <c r="E15" s="7">
        <v>65</v>
      </c>
      <c r="F15" s="8">
        <f t="shared" si="0"/>
        <v>0</v>
      </c>
    </row>
    <row r="16" spans="1:6" ht="12.75">
      <c r="A16" s="6">
        <v>3</v>
      </c>
      <c r="B16" s="13" t="s">
        <v>47</v>
      </c>
      <c r="C16" s="14" t="s">
        <v>32</v>
      </c>
      <c r="D16" s="6">
        <v>0</v>
      </c>
      <c r="E16" s="7">
        <v>100</v>
      </c>
      <c r="F16" s="8">
        <f t="shared" si="0"/>
        <v>0</v>
      </c>
    </row>
    <row r="17" spans="1:6" ht="12.75">
      <c r="A17" s="6">
        <v>4</v>
      </c>
      <c r="B17" s="13" t="s">
        <v>34</v>
      </c>
      <c r="C17" s="14" t="s">
        <v>17</v>
      </c>
      <c r="D17" s="6">
        <v>0</v>
      </c>
      <c r="E17" s="7">
        <v>5000</v>
      </c>
      <c r="F17" s="8">
        <f t="shared" si="0"/>
        <v>0</v>
      </c>
    </row>
    <row r="18" spans="1:8" ht="12.75">
      <c r="A18" s="6">
        <v>5</v>
      </c>
      <c r="B18" s="13" t="s">
        <v>35</v>
      </c>
      <c r="C18" s="14" t="s">
        <v>17</v>
      </c>
      <c r="D18" s="6">
        <v>1</v>
      </c>
      <c r="E18" s="7">
        <v>75000</v>
      </c>
      <c r="F18" s="8">
        <f t="shared" si="0"/>
        <v>75000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0</v>
      </c>
      <c r="E19" s="7">
        <v>200000</v>
      </c>
      <c r="F19" s="8">
        <f t="shared" si="0"/>
        <v>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1</v>
      </c>
      <c r="E21" s="7">
        <v>20000</v>
      </c>
      <c r="F21" s="8">
        <f t="shared" si="0"/>
        <v>20000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v>1100</v>
      </c>
      <c r="E22" s="7">
        <v>3.5</v>
      </c>
      <c r="F22" s="8">
        <f t="shared" si="0"/>
        <v>3850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D14+D15+D16-D22</f>
        <v>0</v>
      </c>
      <c r="E23" s="7">
        <v>1.5</v>
      </c>
      <c r="F23" s="8">
        <f t="shared" si="0"/>
        <v>0</v>
      </c>
    </row>
    <row r="24" spans="1:8" ht="12.75">
      <c r="A24" s="6">
        <v>11</v>
      </c>
      <c r="B24" s="13" t="s">
        <v>40</v>
      </c>
      <c r="C24" s="14" t="s">
        <v>17</v>
      </c>
      <c r="D24" s="6">
        <v>0</v>
      </c>
      <c r="E24" s="7">
        <v>3500</v>
      </c>
      <c r="F24" s="8">
        <f t="shared" si="0"/>
        <v>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5</v>
      </c>
      <c r="E25" s="7">
        <v>1500</v>
      </c>
      <c r="F25" s="8">
        <f t="shared" si="0"/>
        <v>7500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0</v>
      </c>
      <c r="E26" s="7">
        <v>2000</v>
      </c>
      <c r="F26" s="8">
        <f t="shared" si="0"/>
        <v>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0</v>
      </c>
      <c r="E27" s="7">
        <v>3000</v>
      </c>
      <c r="F27" s="8">
        <f t="shared" si="0"/>
        <v>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5</v>
      </c>
      <c r="E28" s="7">
        <v>3000</v>
      </c>
      <c r="F28" s="8">
        <f t="shared" si="0"/>
        <v>15000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0</v>
      </c>
      <c r="E29" s="7">
        <v>20000</v>
      </c>
      <c r="F29" s="8">
        <f t="shared" si="0"/>
        <v>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0</v>
      </c>
      <c r="E30" s="7">
        <v>12</v>
      </c>
      <c r="F30" s="8">
        <f t="shared" si="0"/>
        <v>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250</v>
      </c>
      <c r="E31" s="7">
        <v>25</v>
      </c>
      <c r="F31" s="8">
        <f t="shared" si="0"/>
        <v>6250</v>
      </c>
      <c r="H31" s="13" t="s">
        <v>75</v>
      </c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0</v>
      </c>
      <c r="E34" s="7">
        <v>32</v>
      </c>
      <c r="F34" s="8">
        <f t="shared" si="0"/>
        <v>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0</v>
      </c>
      <c r="E35" s="7">
        <v>63</v>
      </c>
      <c r="F35" s="8">
        <f t="shared" si="0"/>
        <v>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184800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1848</v>
      </c>
      <c r="F39" s="8">
        <f aca="true" t="shared" si="2" ref="F39:F46">D39*E39</f>
        <v>3696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1848</v>
      </c>
      <c r="F40" s="8">
        <f t="shared" si="2"/>
        <v>3696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1848</v>
      </c>
      <c r="F41" s="8">
        <f t="shared" si="2"/>
        <v>4620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1848</v>
      </c>
      <c r="F42" s="8">
        <f t="shared" si="2"/>
        <v>1848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1848</v>
      </c>
      <c r="F43" s="8">
        <f t="shared" si="2"/>
        <v>1848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1848</v>
      </c>
      <c r="F44" s="8">
        <f t="shared" si="2"/>
        <v>1848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1848</v>
      </c>
      <c r="F45" s="8">
        <f t="shared" si="2"/>
        <v>2772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1848</v>
      </c>
      <c r="F46" s="9">
        <f t="shared" si="2"/>
        <v>3696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208824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2088.2400000000002</v>
      </c>
      <c r="F50" s="8">
        <f>D50*E50</f>
        <v>41764.8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2088.2400000000002</v>
      </c>
      <c r="F51" s="9">
        <f>D51*E51</f>
        <v>41764.8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292353.6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292000</v>
      </c>
    </row>
    <row r="57" spans="5:6" ht="12.75">
      <c r="E57" s="13" t="s">
        <v>63</v>
      </c>
      <c r="F57" s="7">
        <f>F53/E10</f>
        <v>26577.6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&amp;L&amp;8h/projects/Ridgely/&amp;F    &amp;A&amp;R&amp;D</oddFoot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57" sqref="E57:F57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22" t="s">
        <v>77</v>
      </c>
      <c r="C10" s="18"/>
      <c r="D10" s="18"/>
      <c r="E10" s="18">
        <v>56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14">
        <f>2800+450+450+250+1200+200</f>
        <v>5350</v>
      </c>
      <c r="E14" s="7">
        <v>52</v>
      </c>
      <c r="F14" s="8">
        <f aca="true" t="shared" si="0" ref="F14:F35">D14*E14</f>
        <v>278200</v>
      </c>
    </row>
    <row r="15" spans="1:6" ht="12.75">
      <c r="A15" s="6">
        <v>2</v>
      </c>
      <c r="B15" s="13" t="s">
        <v>33</v>
      </c>
      <c r="C15" s="14" t="s">
        <v>32</v>
      </c>
      <c r="D15" s="6">
        <v>0</v>
      </c>
      <c r="E15" s="7">
        <v>65</v>
      </c>
      <c r="F15" s="8">
        <f t="shared" si="0"/>
        <v>0</v>
      </c>
    </row>
    <row r="16" spans="1:6" ht="12.75">
      <c r="A16" s="6">
        <v>3</v>
      </c>
      <c r="B16" s="13" t="s">
        <v>47</v>
      </c>
      <c r="C16" s="14" t="s">
        <v>32</v>
      </c>
      <c r="D16" s="6">
        <v>0</v>
      </c>
      <c r="E16" s="7">
        <v>100</v>
      </c>
      <c r="F16" s="8">
        <f t="shared" si="0"/>
        <v>0</v>
      </c>
    </row>
    <row r="17" spans="1:6" ht="12.75">
      <c r="A17" s="6">
        <v>4</v>
      </c>
      <c r="B17" s="13" t="s">
        <v>34</v>
      </c>
      <c r="C17" s="14" t="s">
        <v>17</v>
      </c>
      <c r="D17" s="6">
        <v>2</v>
      </c>
      <c r="E17" s="7">
        <v>5000</v>
      </c>
      <c r="F17" s="8">
        <f t="shared" si="0"/>
        <v>10000</v>
      </c>
    </row>
    <row r="18" spans="1:8" ht="12.75">
      <c r="A18" s="6">
        <v>5</v>
      </c>
      <c r="B18" s="13" t="s">
        <v>35</v>
      </c>
      <c r="C18" s="14" t="s">
        <v>17</v>
      </c>
      <c r="D18" s="6">
        <v>0</v>
      </c>
      <c r="E18" s="7">
        <v>75000</v>
      </c>
      <c r="F18" s="8">
        <f t="shared" si="0"/>
        <v>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0</v>
      </c>
      <c r="E19" s="7">
        <v>200000</v>
      </c>
      <c r="F19" s="8">
        <f t="shared" si="0"/>
        <v>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0</v>
      </c>
      <c r="E21" s="7">
        <v>20000</v>
      </c>
      <c r="F21" s="8">
        <f t="shared" si="0"/>
        <v>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D14-200-250</f>
        <v>4900</v>
      </c>
      <c r="E22" s="7">
        <v>3.5</v>
      </c>
      <c r="F22" s="8">
        <f t="shared" si="0"/>
        <v>17150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D14+D15+D16-D22</f>
        <v>450</v>
      </c>
      <c r="E23" s="7">
        <v>1.5</v>
      </c>
      <c r="F23" s="8">
        <f t="shared" si="0"/>
        <v>675</v>
      </c>
    </row>
    <row r="24" spans="1:8" ht="12.75">
      <c r="A24" s="6">
        <v>11</v>
      </c>
      <c r="B24" s="13" t="s">
        <v>40</v>
      </c>
      <c r="C24" s="14" t="s">
        <v>17</v>
      </c>
      <c r="D24" s="6">
        <v>0</v>
      </c>
      <c r="E24" s="7">
        <v>3500</v>
      </c>
      <c r="F24" s="8">
        <f t="shared" si="0"/>
        <v>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14</v>
      </c>
      <c r="E25" s="7">
        <v>1500</v>
      </c>
      <c r="F25" s="8">
        <f t="shared" si="0"/>
        <v>21000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0</v>
      </c>
      <c r="E26" s="7">
        <v>2000</v>
      </c>
      <c r="F26" s="8">
        <f t="shared" si="0"/>
        <v>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0</v>
      </c>
      <c r="E27" s="7">
        <v>3000</v>
      </c>
      <c r="F27" s="8">
        <f t="shared" si="0"/>
        <v>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56</v>
      </c>
      <c r="E28" s="7">
        <v>3000</v>
      </c>
      <c r="F28" s="8">
        <f t="shared" si="0"/>
        <v>168000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1</v>
      </c>
      <c r="E29" s="7">
        <v>20000</v>
      </c>
      <c r="F29" s="8">
        <f t="shared" si="0"/>
        <v>20000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450</v>
      </c>
      <c r="E30" s="7">
        <v>12</v>
      </c>
      <c r="F30" s="8">
        <f t="shared" si="0"/>
        <v>5400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0</v>
      </c>
      <c r="E31" s="7">
        <v>25</v>
      </c>
      <c r="F31" s="8">
        <f t="shared" si="0"/>
        <v>0</v>
      </c>
      <c r="H31" s="13" t="s">
        <v>75</v>
      </c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0</v>
      </c>
      <c r="E34" s="7">
        <v>32</v>
      </c>
      <c r="F34" s="8">
        <f t="shared" si="0"/>
        <v>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0</v>
      </c>
      <c r="E35" s="7">
        <v>63</v>
      </c>
      <c r="F35" s="8">
        <f t="shared" si="0"/>
        <v>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520425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5204.25</v>
      </c>
      <c r="F39" s="8">
        <f aca="true" t="shared" si="2" ref="F39:F46">D39*E39</f>
        <v>10408.5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5204.25</v>
      </c>
      <c r="F40" s="8">
        <f t="shared" si="2"/>
        <v>10408.5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5204.25</v>
      </c>
      <c r="F41" s="8">
        <f t="shared" si="2"/>
        <v>13010.625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5204.25</v>
      </c>
      <c r="F42" s="8">
        <f t="shared" si="2"/>
        <v>5204.25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5204.25</v>
      </c>
      <c r="F43" s="8">
        <f t="shared" si="2"/>
        <v>5204.25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5204.25</v>
      </c>
      <c r="F44" s="8">
        <f t="shared" si="2"/>
        <v>5204.25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5204.25</v>
      </c>
      <c r="F45" s="8">
        <f t="shared" si="2"/>
        <v>7806.375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5204.25</v>
      </c>
      <c r="F46" s="9">
        <f t="shared" si="2"/>
        <v>10408.5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588080.25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5880.8025</v>
      </c>
      <c r="F50" s="8">
        <f>D50*E50</f>
        <v>117616.04999999999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5880.8025</v>
      </c>
      <c r="F51" s="9">
        <f>D51*E51</f>
        <v>117616.04999999999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823312.3500000001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823000</v>
      </c>
    </row>
    <row r="57" spans="5:6" ht="12.75">
      <c r="E57" s="13" t="s">
        <v>63</v>
      </c>
      <c r="F57" s="7">
        <f>F53/E10</f>
        <v>14702.006250000002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&amp;L&amp;8h/projects/Ridgely/&amp;F    &amp;A&amp;R&amp;D</oddFooter>
  </headerFooter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D45" sqref="D45"/>
    </sheetView>
  </sheetViews>
  <sheetFormatPr defaultColWidth="9.33203125" defaultRowHeight="12.75"/>
  <cols>
    <col min="1" max="1" width="10.66015625" style="6" customWidth="1"/>
    <col min="2" max="2" width="41.5" style="2" customWidth="1"/>
    <col min="3" max="4" width="10.66015625" style="2" customWidth="1"/>
    <col min="5" max="5" width="14.33203125" style="2" bestFit="1" customWidth="1"/>
    <col min="6" max="6" width="17.66015625" style="2" customWidth="1"/>
    <col min="7" max="16384" width="10.66015625" style="2" customWidth="1"/>
  </cols>
  <sheetData>
    <row r="1" spans="1:5" ht="12.75">
      <c r="A1" s="4" t="s">
        <v>1</v>
      </c>
      <c r="D1" s="3" t="s">
        <v>2</v>
      </c>
      <c r="E1" s="4" t="s">
        <v>0</v>
      </c>
    </row>
    <row r="2" spans="1:5" ht="12.75">
      <c r="A2" s="21" t="s">
        <v>3</v>
      </c>
      <c r="D2" s="3" t="s">
        <v>4</v>
      </c>
      <c r="E2" s="13" t="s">
        <v>30</v>
      </c>
    </row>
    <row r="3" spans="1:5" ht="12.75">
      <c r="A3" s="21" t="s">
        <v>5</v>
      </c>
      <c r="D3" s="3" t="s">
        <v>6</v>
      </c>
      <c r="E3" s="2" t="s">
        <v>7</v>
      </c>
    </row>
    <row r="4" ht="12.75">
      <c r="A4" s="21" t="s">
        <v>8</v>
      </c>
    </row>
    <row r="5" ht="12.75">
      <c r="A5" s="21" t="s">
        <v>9</v>
      </c>
    </row>
    <row r="7" spans="1:6" ht="12.75">
      <c r="A7" s="30" t="s">
        <v>10</v>
      </c>
      <c r="B7" s="30"/>
      <c r="C7" s="30"/>
      <c r="D7" s="30"/>
      <c r="E7" s="30"/>
      <c r="F7" s="30"/>
    </row>
    <row r="8" spans="1:2" ht="12.75">
      <c r="A8" s="2"/>
      <c r="B8" s="4"/>
    </row>
    <row r="9" spans="1:6" ht="12.75">
      <c r="A9" s="30" t="s">
        <v>28</v>
      </c>
      <c r="B9" s="30"/>
      <c r="C9" s="30"/>
      <c r="D9" s="30"/>
      <c r="E9" s="30"/>
      <c r="F9" s="30"/>
    </row>
    <row r="10" spans="1:6" ht="12.75">
      <c r="A10" s="22" t="s">
        <v>78</v>
      </c>
      <c r="C10" s="18"/>
      <c r="D10" s="18"/>
      <c r="E10" s="18">
        <v>24</v>
      </c>
      <c r="F10" s="1" t="s">
        <v>64</v>
      </c>
    </row>
    <row r="11" spans="1:6" ht="12.75">
      <c r="A11" s="2"/>
      <c r="B11" s="5"/>
      <c r="C11" s="5"/>
      <c r="D11" s="5"/>
      <c r="E11" s="5"/>
      <c r="F11" s="5"/>
    </row>
    <row r="12" spans="1:6" s="1" customFormat="1" ht="13.5" thickBot="1">
      <c r="A12" s="19" t="s">
        <v>11</v>
      </c>
      <c r="B12" s="19" t="s">
        <v>12</v>
      </c>
      <c r="C12" s="19" t="s">
        <v>13</v>
      </c>
      <c r="D12" s="19" t="s">
        <v>14</v>
      </c>
      <c r="E12" s="20" t="s">
        <v>15</v>
      </c>
      <c r="F12" s="19" t="s">
        <v>16</v>
      </c>
    </row>
    <row r="13" spans="1:5" ht="12.75">
      <c r="A13" s="2"/>
      <c r="C13" s="6"/>
      <c r="D13" s="6"/>
      <c r="E13" s="7"/>
    </row>
    <row r="14" spans="1:6" ht="12.75">
      <c r="A14" s="6">
        <v>1</v>
      </c>
      <c r="B14" s="13" t="s">
        <v>31</v>
      </c>
      <c r="C14" s="14" t="s">
        <v>32</v>
      </c>
      <c r="D14" s="14">
        <f>1200+700+400+600+950+500</f>
        <v>4350</v>
      </c>
      <c r="E14" s="7">
        <v>52</v>
      </c>
      <c r="F14" s="8">
        <f aca="true" t="shared" si="0" ref="F14:F35">D14*E14</f>
        <v>226200</v>
      </c>
    </row>
    <row r="15" spans="1:6" ht="12.75">
      <c r="A15" s="6">
        <v>2</v>
      </c>
      <c r="B15" s="13" t="s">
        <v>33</v>
      </c>
      <c r="C15" s="14" t="s">
        <v>32</v>
      </c>
      <c r="D15" s="6">
        <v>0</v>
      </c>
      <c r="E15" s="7">
        <v>65</v>
      </c>
      <c r="F15" s="8">
        <f t="shared" si="0"/>
        <v>0</v>
      </c>
    </row>
    <row r="16" spans="1:6" ht="12.75">
      <c r="A16" s="6">
        <v>3</v>
      </c>
      <c r="B16" s="13" t="s">
        <v>47</v>
      </c>
      <c r="C16" s="14" t="s">
        <v>32</v>
      </c>
      <c r="D16" s="6">
        <v>0</v>
      </c>
      <c r="E16" s="7">
        <v>100</v>
      </c>
      <c r="F16" s="8">
        <f t="shared" si="0"/>
        <v>0</v>
      </c>
    </row>
    <row r="17" spans="1:6" ht="12.75">
      <c r="A17" s="6">
        <v>4</v>
      </c>
      <c r="B17" s="13" t="s">
        <v>34</v>
      </c>
      <c r="C17" s="14" t="s">
        <v>17</v>
      </c>
      <c r="D17" s="6">
        <v>0</v>
      </c>
      <c r="E17" s="7">
        <v>5000</v>
      </c>
      <c r="F17" s="8">
        <f t="shared" si="0"/>
        <v>0</v>
      </c>
    </row>
    <row r="18" spans="1:8" ht="12.75">
      <c r="A18" s="6">
        <v>5</v>
      </c>
      <c r="B18" s="13" t="s">
        <v>35</v>
      </c>
      <c r="C18" s="14" t="s">
        <v>17</v>
      </c>
      <c r="D18" s="6">
        <v>0</v>
      </c>
      <c r="E18" s="7">
        <v>75000</v>
      </c>
      <c r="F18" s="8">
        <f t="shared" si="0"/>
        <v>0</v>
      </c>
      <c r="H18" s="13" t="s">
        <v>44</v>
      </c>
    </row>
    <row r="19" spans="1:8" ht="12.75">
      <c r="A19" s="6">
        <v>6</v>
      </c>
      <c r="B19" s="13" t="s">
        <v>36</v>
      </c>
      <c r="C19" s="14" t="s">
        <v>17</v>
      </c>
      <c r="D19" s="6">
        <v>0</v>
      </c>
      <c r="E19" s="7">
        <v>200000</v>
      </c>
      <c r="F19" s="8">
        <f t="shared" si="0"/>
        <v>0</v>
      </c>
      <c r="H19" s="13" t="s">
        <v>43</v>
      </c>
    </row>
    <row r="20" spans="1:8" ht="12.75">
      <c r="A20" s="6">
        <v>7</v>
      </c>
      <c r="B20" s="13" t="s">
        <v>37</v>
      </c>
      <c r="C20" s="14" t="s">
        <v>17</v>
      </c>
      <c r="D20" s="6">
        <v>0</v>
      </c>
      <c r="E20" s="7">
        <v>400000</v>
      </c>
      <c r="F20" s="8">
        <f t="shared" si="0"/>
        <v>0</v>
      </c>
      <c r="H20" s="13" t="s">
        <v>42</v>
      </c>
    </row>
    <row r="21" spans="1:8" ht="12.75">
      <c r="A21" s="6">
        <v>8</v>
      </c>
      <c r="B21" s="13" t="s">
        <v>56</v>
      </c>
      <c r="C21" s="14" t="s">
        <v>17</v>
      </c>
      <c r="D21" s="6">
        <v>0</v>
      </c>
      <c r="E21" s="7">
        <v>20000</v>
      </c>
      <c r="F21" s="8">
        <f t="shared" si="0"/>
        <v>0</v>
      </c>
      <c r="H21" s="13"/>
    </row>
    <row r="22" spans="1:8" ht="12.75">
      <c r="A22" s="6">
        <v>9</v>
      </c>
      <c r="B22" s="13" t="s">
        <v>38</v>
      </c>
      <c r="C22" s="14" t="s">
        <v>32</v>
      </c>
      <c r="D22" s="6">
        <f>D14-600-950-500</f>
        <v>2300</v>
      </c>
      <c r="E22" s="7">
        <v>3.5</v>
      </c>
      <c r="F22" s="8">
        <f t="shared" si="0"/>
        <v>8050</v>
      </c>
      <c r="H22" s="13" t="s">
        <v>48</v>
      </c>
    </row>
    <row r="23" spans="1:6" ht="12.75">
      <c r="A23" s="6">
        <v>10</v>
      </c>
      <c r="B23" s="13" t="s">
        <v>39</v>
      </c>
      <c r="C23" s="14" t="s">
        <v>32</v>
      </c>
      <c r="D23" s="6">
        <f>D14+D15+D16-D22</f>
        <v>2050</v>
      </c>
      <c r="E23" s="7">
        <v>1.5</v>
      </c>
      <c r="F23" s="8">
        <f t="shared" si="0"/>
        <v>3075</v>
      </c>
    </row>
    <row r="24" spans="1:8" ht="12.75">
      <c r="A24" s="6">
        <v>11</v>
      </c>
      <c r="B24" s="13" t="s">
        <v>40</v>
      </c>
      <c r="C24" s="14" t="s">
        <v>17</v>
      </c>
      <c r="D24" s="6">
        <v>0</v>
      </c>
      <c r="E24" s="7">
        <v>3500</v>
      </c>
      <c r="F24" s="8">
        <f t="shared" si="0"/>
        <v>0</v>
      </c>
      <c r="H24" s="13" t="s">
        <v>41</v>
      </c>
    </row>
    <row r="25" spans="1:8" ht="12.75">
      <c r="A25" s="6">
        <v>12</v>
      </c>
      <c r="B25" s="13" t="s">
        <v>46</v>
      </c>
      <c r="C25" s="14" t="s">
        <v>17</v>
      </c>
      <c r="D25" s="6">
        <v>17</v>
      </c>
      <c r="E25" s="7">
        <v>1500</v>
      </c>
      <c r="F25" s="8">
        <f t="shared" si="0"/>
        <v>25500</v>
      </c>
      <c r="H25" s="13"/>
    </row>
    <row r="26" spans="1:8" ht="12.75">
      <c r="A26" s="6">
        <v>13</v>
      </c>
      <c r="B26" s="13" t="s">
        <v>45</v>
      </c>
      <c r="C26" s="14" t="s">
        <v>17</v>
      </c>
      <c r="D26" s="6">
        <v>0</v>
      </c>
      <c r="E26" s="7">
        <v>2000</v>
      </c>
      <c r="F26" s="8">
        <f t="shared" si="0"/>
        <v>0</v>
      </c>
      <c r="H26" s="13"/>
    </row>
    <row r="27" spans="1:8" ht="12.75">
      <c r="A27" s="6">
        <v>14</v>
      </c>
      <c r="B27" s="13" t="s">
        <v>49</v>
      </c>
      <c r="C27" s="14" t="s">
        <v>17</v>
      </c>
      <c r="D27" s="6">
        <v>0</v>
      </c>
      <c r="E27" s="7">
        <v>3000</v>
      </c>
      <c r="F27" s="8">
        <f t="shared" si="0"/>
        <v>0</v>
      </c>
      <c r="H27" s="13"/>
    </row>
    <row r="28" spans="1:8" ht="12.75">
      <c r="A28" s="6">
        <v>15</v>
      </c>
      <c r="B28" s="13" t="s">
        <v>51</v>
      </c>
      <c r="C28" s="14" t="s">
        <v>17</v>
      </c>
      <c r="D28" s="6">
        <v>24</v>
      </c>
      <c r="E28" s="7">
        <v>3000</v>
      </c>
      <c r="F28" s="8">
        <f t="shared" si="0"/>
        <v>72000</v>
      </c>
      <c r="H28" s="13" t="s">
        <v>52</v>
      </c>
    </row>
    <row r="29" spans="1:8" ht="12.75">
      <c r="A29" s="6">
        <v>16</v>
      </c>
      <c r="B29" s="13" t="s">
        <v>53</v>
      </c>
      <c r="C29" s="14" t="s">
        <v>17</v>
      </c>
      <c r="D29" s="6">
        <v>1</v>
      </c>
      <c r="E29" s="7">
        <v>20000</v>
      </c>
      <c r="F29" s="8">
        <f t="shared" si="0"/>
        <v>20000</v>
      </c>
      <c r="H29" s="13"/>
    </row>
    <row r="30" spans="1:8" ht="12.75">
      <c r="A30" s="6">
        <v>17</v>
      </c>
      <c r="B30" s="13" t="s">
        <v>60</v>
      </c>
      <c r="C30" s="14" t="s">
        <v>32</v>
      </c>
      <c r="D30" s="6">
        <v>2050</v>
      </c>
      <c r="E30" s="7">
        <v>12</v>
      </c>
      <c r="F30" s="8">
        <f t="shared" si="0"/>
        <v>24600</v>
      </c>
      <c r="H30" s="13" t="s">
        <v>57</v>
      </c>
    </row>
    <row r="31" spans="1:8" ht="12.75">
      <c r="A31" s="6">
        <v>18</v>
      </c>
      <c r="B31" s="13" t="s">
        <v>61</v>
      </c>
      <c r="C31" s="14" t="s">
        <v>32</v>
      </c>
      <c r="D31" s="6">
        <v>0</v>
      </c>
      <c r="E31" s="7">
        <v>25</v>
      </c>
      <c r="F31" s="8">
        <f t="shared" si="0"/>
        <v>0</v>
      </c>
      <c r="H31" s="13" t="s">
        <v>75</v>
      </c>
    </row>
    <row r="32" spans="1:6" ht="12.75">
      <c r="A32" s="6">
        <v>19</v>
      </c>
      <c r="B32" s="13" t="s">
        <v>62</v>
      </c>
      <c r="C32" s="14" t="s">
        <v>32</v>
      </c>
      <c r="D32" s="6">
        <v>0</v>
      </c>
      <c r="E32" s="7">
        <v>30</v>
      </c>
      <c r="F32" s="8">
        <f t="shared" si="0"/>
        <v>0</v>
      </c>
    </row>
    <row r="33" spans="1:6" ht="12.75">
      <c r="A33" s="6">
        <v>20</v>
      </c>
      <c r="B33" s="13" t="s">
        <v>58</v>
      </c>
      <c r="C33" s="14" t="s">
        <v>17</v>
      </c>
      <c r="D33" s="6">
        <v>0</v>
      </c>
      <c r="E33" s="7">
        <v>7500</v>
      </c>
      <c r="F33" s="8">
        <f t="shared" si="0"/>
        <v>0</v>
      </c>
    </row>
    <row r="34" spans="1:8" ht="12.75">
      <c r="A34" s="6">
        <v>21</v>
      </c>
      <c r="B34" s="13" t="s">
        <v>67</v>
      </c>
      <c r="C34" s="14" t="s">
        <v>32</v>
      </c>
      <c r="D34" s="6">
        <v>0</v>
      </c>
      <c r="E34" s="7">
        <v>32</v>
      </c>
      <c r="F34" s="8">
        <f t="shared" si="0"/>
        <v>0</v>
      </c>
      <c r="H34" s="15" t="s">
        <v>66</v>
      </c>
    </row>
    <row r="35" spans="1:8" ht="12.75">
      <c r="A35" s="6">
        <v>22</v>
      </c>
      <c r="B35" s="13" t="s">
        <v>68</v>
      </c>
      <c r="C35" s="14" t="s">
        <v>32</v>
      </c>
      <c r="D35" s="6">
        <v>0</v>
      </c>
      <c r="E35" s="7">
        <v>63</v>
      </c>
      <c r="F35" s="8">
        <f t="shared" si="0"/>
        <v>0</v>
      </c>
      <c r="H35" s="15"/>
    </row>
    <row r="36" spans="3:5" ht="12.75">
      <c r="C36" s="6"/>
      <c r="D36" s="6"/>
      <c r="E36" s="7"/>
    </row>
    <row r="37" spans="1:6" ht="12.75">
      <c r="A37" s="6">
        <v>23</v>
      </c>
      <c r="B37" s="2" t="s">
        <v>18</v>
      </c>
      <c r="C37" s="6"/>
      <c r="D37" s="6"/>
      <c r="E37" s="7"/>
      <c r="F37" s="8">
        <f>SUM(F14:F36)</f>
        <v>379425</v>
      </c>
    </row>
    <row r="38" spans="3:6" ht="12.75">
      <c r="C38" s="6"/>
      <c r="D38" s="6"/>
      <c r="E38" s="7"/>
      <c r="F38" s="8"/>
    </row>
    <row r="39" spans="1:6" ht="12.75">
      <c r="A39" s="6">
        <v>24</v>
      </c>
      <c r="B39" s="16" t="s">
        <v>59</v>
      </c>
      <c r="C39" s="6" t="s">
        <v>20</v>
      </c>
      <c r="D39" s="10">
        <v>2</v>
      </c>
      <c r="E39" s="7">
        <f aca="true" t="shared" si="1" ref="E39:E46">0.01*$F$37</f>
        <v>3794.25</v>
      </c>
      <c r="F39" s="8">
        <f aca="true" t="shared" si="2" ref="F39:F46">D39*E39</f>
        <v>7588.5</v>
      </c>
    </row>
    <row r="40" spans="1:6" ht="12.75">
      <c r="A40" s="6">
        <v>25</v>
      </c>
      <c r="B40" s="13" t="s">
        <v>55</v>
      </c>
      <c r="C40" s="6" t="s">
        <v>20</v>
      </c>
      <c r="D40" s="10">
        <v>2</v>
      </c>
      <c r="E40" s="7">
        <f t="shared" si="1"/>
        <v>3794.25</v>
      </c>
      <c r="F40" s="8">
        <f t="shared" si="2"/>
        <v>7588.5</v>
      </c>
    </row>
    <row r="41" spans="1:6" ht="12.75">
      <c r="A41" s="6">
        <v>26</v>
      </c>
      <c r="B41" s="13" t="s">
        <v>50</v>
      </c>
      <c r="C41" s="6" t="s">
        <v>20</v>
      </c>
      <c r="D41" s="10">
        <v>2.5</v>
      </c>
      <c r="E41" s="7">
        <f t="shared" si="1"/>
        <v>3794.25</v>
      </c>
      <c r="F41" s="8">
        <f t="shared" si="2"/>
        <v>9485.625</v>
      </c>
    </row>
    <row r="42" spans="1:6" ht="12.75">
      <c r="A42" s="6">
        <v>27</v>
      </c>
      <c r="B42" s="2" t="s">
        <v>19</v>
      </c>
      <c r="C42" s="6" t="s">
        <v>20</v>
      </c>
      <c r="D42" s="10">
        <v>1</v>
      </c>
      <c r="E42" s="7">
        <f t="shared" si="1"/>
        <v>3794.25</v>
      </c>
      <c r="F42" s="8">
        <f t="shared" si="2"/>
        <v>3794.25</v>
      </c>
    </row>
    <row r="43" spans="1:6" ht="12.75">
      <c r="A43" s="6">
        <v>28</v>
      </c>
      <c r="B43" s="11" t="s">
        <v>21</v>
      </c>
      <c r="C43" s="6" t="s">
        <v>20</v>
      </c>
      <c r="D43" s="10">
        <v>1</v>
      </c>
      <c r="E43" s="7">
        <f t="shared" si="1"/>
        <v>3794.25</v>
      </c>
      <c r="F43" s="8">
        <f t="shared" si="2"/>
        <v>3794.25</v>
      </c>
    </row>
    <row r="44" spans="1:6" ht="12.75">
      <c r="A44" s="6">
        <v>29</v>
      </c>
      <c r="B44" s="11" t="s">
        <v>22</v>
      </c>
      <c r="C44" s="6" t="s">
        <v>20</v>
      </c>
      <c r="D44" s="10">
        <v>1</v>
      </c>
      <c r="E44" s="7">
        <f t="shared" si="1"/>
        <v>3794.25</v>
      </c>
      <c r="F44" s="8">
        <f t="shared" si="2"/>
        <v>3794.25</v>
      </c>
    </row>
    <row r="45" spans="1:6" ht="12.75">
      <c r="A45" s="6">
        <v>30</v>
      </c>
      <c r="B45" s="16" t="s">
        <v>54</v>
      </c>
      <c r="C45" s="6" t="s">
        <v>20</v>
      </c>
      <c r="D45" s="10">
        <v>1.5</v>
      </c>
      <c r="E45" s="7">
        <f t="shared" si="1"/>
        <v>3794.25</v>
      </c>
      <c r="F45" s="8">
        <f t="shared" si="2"/>
        <v>5691.375</v>
      </c>
    </row>
    <row r="46" spans="1:6" ht="12.75">
      <c r="A46" s="6">
        <v>31</v>
      </c>
      <c r="B46" s="11" t="s">
        <v>23</v>
      </c>
      <c r="C46" s="6" t="s">
        <v>20</v>
      </c>
      <c r="D46" s="10">
        <v>2</v>
      </c>
      <c r="E46" s="7">
        <f t="shared" si="1"/>
        <v>3794.25</v>
      </c>
      <c r="F46" s="9">
        <f t="shared" si="2"/>
        <v>7588.5</v>
      </c>
    </row>
    <row r="47" spans="3:5" ht="12.75">
      <c r="C47" s="6"/>
      <c r="D47" s="6"/>
      <c r="E47" s="7"/>
    </row>
    <row r="48" spans="1:6" ht="12.75">
      <c r="A48" s="6">
        <v>32</v>
      </c>
      <c r="B48" s="2" t="s">
        <v>24</v>
      </c>
      <c r="C48" s="6"/>
      <c r="D48" s="6"/>
      <c r="E48" s="7"/>
      <c r="F48" s="8">
        <f>SUM(F37:F46)</f>
        <v>428750.25</v>
      </c>
    </row>
    <row r="49" spans="3:5" ht="12.75">
      <c r="C49" s="6"/>
      <c r="D49" s="6"/>
      <c r="E49" s="7"/>
    </row>
    <row r="50" spans="1:6" ht="12.75">
      <c r="A50" s="6">
        <v>33</v>
      </c>
      <c r="B50" s="13" t="s">
        <v>85</v>
      </c>
      <c r="C50" s="6" t="s">
        <v>20</v>
      </c>
      <c r="D50" s="6">
        <v>20</v>
      </c>
      <c r="E50" s="7">
        <f>0.01*F48</f>
        <v>4287.5025000000005</v>
      </c>
      <c r="F50" s="8">
        <f>D50*E50</f>
        <v>85750.05000000002</v>
      </c>
    </row>
    <row r="51" spans="1:6" ht="12.75">
      <c r="A51" s="6">
        <v>34</v>
      </c>
      <c r="B51" s="2" t="s">
        <v>25</v>
      </c>
      <c r="C51" s="6" t="s">
        <v>20</v>
      </c>
      <c r="D51" s="6">
        <v>20</v>
      </c>
      <c r="E51" s="7">
        <f>0.01*F48</f>
        <v>4287.5025000000005</v>
      </c>
      <c r="F51" s="9">
        <f>D51*E51</f>
        <v>85750.05000000002</v>
      </c>
    </row>
    <row r="52" spans="3:5" ht="12.75">
      <c r="C52" s="6"/>
      <c r="D52" s="6"/>
      <c r="E52" s="7"/>
    </row>
    <row r="53" spans="1:6" ht="12.75">
      <c r="A53" s="6">
        <v>35</v>
      </c>
      <c r="B53" s="2" t="s">
        <v>26</v>
      </c>
      <c r="C53" s="6"/>
      <c r="D53" s="6"/>
      <c r="E53" s="7"/>
      <c r="F53" s="8">
        <f>SUM(F48:F52)</f>
        <v>600250.3500000001</v>
      </c>
    </row>
    <row r="54" spans="3:5" ht="12.75">
      <c r="C54" s="6"/>
      <c r="D54" s="6"/>
      <c r="E54" s="7"/>
    </row>
    <row r="55" spans="1:6" ht="12.75">
      <c r="A55" s="6">
        <v>36</v>
      </c>
      <c r="C55" s="6"/>
      <c r="D55" s="5" t="s">
        <v>27</v>
      </c>
      <c r="E55" s="7"/>
      <c r="F55" s="12">
        <f>ROUND(F53,-3)</f>
        <v>600000</v>
      </c>
    </row>
    <row r="56" spans="5:6" ht="12.75">
      <c r="E56" s="13" t="s">
        <v>63</v>
      </c>
      <c r="F56" s="7">
        <f>F53/E10</f>
        <v>25010.431250000005</v>
      </c>
    </row>
  </sheetData>
  <mergeCells count="2">
    <mergeCell ref="A7:F7"/>
    <mergeCell ref="A9:F9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&amp;L&amp;8h/projects/Ridgely/&amp;F    &amp;A&amp;R&amp;D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F. Prouty</dc:creator>
  <cp:keywords/>
  <dc:description/>
  <cp:lastModifiedBy>Dlbolen0</cp:lastModifiedBy>
  <cp:lastPrinted>2004-11-03T15:57:06Z</cp:lastPrinted>
  <dcterms:created xsi:type="dcterms:W3CDTF">2004-03-26T18:14:53Z</dcterms:created>
  <dcterms:modified xsi:type="dcterms:W3CDTF">2004-11-03T15:57:18Z</dcterms:modified>
  <cp:category/>
  <cp:version/>
  <cp:contentType/>
  <cp:contentStatus/>
</cp:coreProperties>
</file>